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Załącznik B" sheetId="1" r:id="rId1"/>
  </sheets>
  <definedNames>
    <definedName name="_xlnm.Print_Area" localSheetId="0">'Załącznik B'!$A$1:$AD$56</definedName>
    <definedName name="_xlnm.Print_Titles" localSheetId="0">'Załącznik B'!$7:$9</definedName>
  </definedNames>
  <calcPr fullCalcOnLoad="1"/>
</workbook>
</file>

<file path=xl/sharedStrings.xml><?xml version="1.0" encoding="utf-8"?>
<sst xmlns="http://schemas.openxmlformats.org/spreadsheetml/2006/main" count="108" uniqueCount="61">
  <si>
    <t xml:space="preserve">Beneficjent </t>
  </si>
  <si>
    <t>Charakterystyka projektu</t>
  </si>
  <si>
    <t>Okres realizacji</t>
  </si>
  <si>
    <t>Wartość Całkowita Projektu</t>
  </si>
  <si>
    <t>Wydatki w 2006</t>
  </si>
  <si>
    <t>Województwo Kujawsko Pomorskie</t>
  </si>
  <si>
    <t>Priorytet II Wzmocnienie rozwoju zasobów ludzkich w regionach</t>
  </si>
  <si>
    <t>Działanie 2.2 Wyrównywanie szans edukacyjnych poprzez programy stypendialne</t>
  </si>
  <si>
    <t>2.2</t>
  </si>
  <si>
    <t>Priorytet/Działanie/Typ</t>
  </si>
  <si>
    <t>Typ II</t>
  </si>
  <si>
    <t>Wspieranie rozwoju edukacyjnego studentów</t>
  </si>
  <si>
    <t>2006/2008</t>
  </si>
  <si>
    <t>Wartość dofinansowania EFS</t>
  </si>
  <si>
    <t>dof. z budżetu państwa</t>
  </si>
  <si>
    <t>dof ze środków wł. województwa</t>
  </si>
  <si>
    <t>Część B</t>
  </si>
  <si>
    <t>Wydatki w 2008</t>
  </si>
  <si>
    <t>Wydatki w 2007</t>
  </si>
  <si>
    <t>Wartość dofinansowania EFS/EFRR</t>
  </si>
  <si>
    <t>Działanie 2.3 "Reorientacja zawodowa osób odchodzących z rolnictwa"</t>
  </si>
  <si>
    <t>Wydatki w 2004</t>
  </si>
  <si>
    <t>Wydatki w 2005</t>
  </si>
  <si>
    <t>Działanie 2.4 "Reorientacja zawodowa osób zagrożonych procesami restrukturyzacyjnymi"</t>
  </si>
  <si>
    <t>Działanie 2.1 "Rozwój umiejętności powiązany z potrzebami regionalnego rynku pracy i możliwości kształcenia ustawicznego w  regionie"</t>
  </si>
  <si>
    <t>2004 - 2006</t>
  </si>
  <si>
    <t>Typ I</t>
  </si>
  <si>
    <t>2.6</t>
  </si>
  <si>
    <t>Działanie 2.5 Promocja Przedsiębiorczości</t>
  </si>
  <si>
    <t>2.5</t>
  </si>
  <si>
    <t>2004-2008</t>
  </si>
  <si>
    <t>2.1</t>
  </si>
  <si>
    <t>2.3</t>
  </si>
  <si>
    <t>Województwo Kujawsko-Pomorskie</t>
  </si>
  <si>
    <t>2.4</t>
  </si>
  <si>
    <t>Wspieranie projektów stymulujących powstawanie nowych mikroprzedsiębiorstw</t>
  </si>
  <si>
    <t>Działanie 2.6 Regionalne Strategie Innowacji i Transfer Wiedzy</t>
  </si>
  <si>
    <t>Priorytet III Rozwój lokalny</t>
  </si>
  <si>
    <t>Działanie 3.4 Mikroprzedsiębiorstwa</t>
  </si>
  <si>
    <t>3.4</t>
  </si>
  <si>
    <t>Wspieranie projektów podnoszących konkurencyjność mikroprzedsiębiorstw</t>
  </si>
  <si>
    <t>Wieloletni Program na lata 2004-2006 współfinansowany w ramach Zintegrowanego Programu Operacyjnego Rozwoju Regionalnego (ZPORR)</t>
  </si>
  <si>
    <t>Zestawienie działań (w tys. zł)</t>
  </si>
  <si>
    <t>L.p.</t>
  </si>
  <si>
    <t>Zadania Pozostałe</t>
  </si>
  <si>
    <t>Zadania Pozostałe Razem</t>
  </si>
  <si>
    <t>Priorytet IV Pomoc Techniczna</t>
  </si>
  <si>
    <t xml:space="preserve">Działanie 4.1 Wspracie procesu Wdrażania ZPORR oraz programowania RPO w latach 2007-2013 - wydatki limitowane </t>
  </si>
  <si>
    <t xml:space="preserve">Działanie 4.2 Wspracie procesu Wdrażania ZPORR oraz programowania RPO w latach 2007-2013 - wydatki nielimitowane </t>
  </si>
  <si>
    <t>Działanie 4.3 Działania informacyjne i promocyjne</t>
  </si>
  <si>
    <t>Działanie 4.2</t>
  </si>
  <si>
    <t>Województwo Kujawsko-Pomorskie - WUP Toruń</t>
  </si>
  <si>
    <t>Celem niniejszego działania jest zapewnienie wysokich kwalifikacji pesonelu zaangażowanego we wdrażanie funduszy strukturalnych w ramach ZPORR, zapewnienie wystarczającej ilości biurowego sprzętu komputerowego i innego wyposażenia niezbędnego dla prawidłowego funkjcjonowania pracesu wdrażania ZPORR - wsparcie procesu ewaluacji</t>
  </si>
  <si>
    <t>Województwo Kujawsko-Pomorskie - Urząd Marszałkowski - DWPR</t>
  </si>
  <si>
    <t>Województwo Kujawsko-Pomorskie - Urząd Marszałkowski - DRR</t>
  </si>
  <si>
    <t xml:space="preserve">Działanie 4.1 </t>
  </si>
  <si>
    <t>Działanie 4.1</t>
  </si>
  <si>
    <t>Działanie 4.3</t>
  </si>
  <si>
    <t>Celem niniejszego działania jest - wsparcie działań służących zapewnieniu powszechnego dostępu do ineformacji o możłiwościach ubiegania się o dofinansowanie ze środków funduszy strukturalnych a realizację projektów służących rozwojowi regionalnemu, w szczególności dla potencjalnych odbiorców pomocy, regionalnych i lokalnych władz oraz innych właściwych władz oraz innych właściwych władz publicznych, organizacji zawodowych, środowisk przedsiębiorców, partnerów gospodarczych i społecznych, organizacji pozarządowych, podmiotów działających na rzecz promocjirówności szans między kobietami i mężczyznami; - wsparcie działań służących informowaniu opinii publicznej o roli UE w zakresie wspierania rozwoju regionów oraz o osiągniętych rezultatach tego wsparcia.</t>
  </si>
  <si>
    <t>Województwo Kujawsko-Pomorskie Urząd Marszałkowski - DWPR</t>
  </si>
  <si>
    <t>Celem niniejszego działania jest zapewnienie skuteczności działania administracji zaangazowanej we wdrażanie ZPORR poprzez wsparcie w zakresie zatrudnienia personelu, zagwarantowania sprawnej obsługi Komisji Oceny Proejtków oraz Panelu Ekspertów, pełniących istotną rolę w procesie oceny i selekcji, zapewnienie skuteczności kontroli oraz odpowiedniej bazy lokalowej poprzez finansowanie kosztów remontów i najmu powierzchni biurowych.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</si>
</sst>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#,##0.0"/>
    <numFmt numFmtId="172" formatCode="0.0"/>
    <numFmt numFmtId="173" formatCode="#,##0.000"/>
    <numFmt numFmtId="174" formatCode="#,##0.0000"/>
    <numFmt numFmtId="175" formatCode="#,##0.00_ ;\-#,##0.00\ "/>
    <numFmt numFmtId="176" formatCode="#,##0.0_ ;\-#,##0.0\ "/>
    <numFmt numFmtId="177" formatCode="#,##0_ ;\-#,##0\ "/>
  </numFmts>
  <fonts count="2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sz val="8"/>
      <name val="Times New Roman"/>
      <family val="1"/>
    </font>
    <font>
      <sz val="14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8"/>
      <color indexed="48"/>
      <name val="Arial CE"/>
      <family val="0"/>
    </font>
    <font>
      <sz val="10"/>
      <name val="Times New Roman"/>
      <family val="1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3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15" fillId="2" borderId="1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8" fillId="2" borderId="2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180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3" fontId="0" fillId="2" borderId="1" xfId="0" applyNumberForma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textRotation="180" wrapText="1"/>
    </xf>
    <xf numFmtId="0" fontId="1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3" fontId="0" fillId="2" borderId="2" xfId="0" applyNumberFormat="1" applyFont="1" applyFill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horizontal="right" vertical="center"/>
    </xf>
    <xf numFmtId="3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7" fillId="2" borderId="2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18" fillId="2" borderId="3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180" wrapText="1"/>
    </xf>
    <xf numFmtId="0" fontId="1" fillId="2" borderId="2" xfId="0" applyFont="1" applyFill="1" applyBorder="1" applyAlignment="1">
      <alignment horizontal="center" vertical="center" textRotation="180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3" fontId="1" fillId="2" borderId="2" xfId="0" applyNumberFormat="1" applyFont="1" applyFill="1" applyBorder="1" applyAlignment="1">
      <alignment horizontal="center" vertical="center" textRotation="180" wrapText="1"/>
    </xf>
    <xf numFmtId="0" fontId="0" fillId="0" borderId="12" xfId="0" applyBorder="1" applyAlignment="1">
      <alignment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center" vertical="center" textRotation="180" wrapText="1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18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7" xfId="0" applyFont="1" applyFill="1" applyBorder="1" applyAlignment="1">
      <alignment horizontal="center" vertical="center" textRotation="180" wrapText="1"/>
    </xf>
    <xf numFmtId="0" fontId="4" fillId="0" borderId="2" xfId="0" applyFont="1" applyFill="1" applyBorder="1" applyAlignment="1">
      <alignment horizontal="center" vertical="center" textRotation="180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textRotation="180" wrapText="1"/>
    </xf>
    <xf numFmtId="0" fontId="5" fillId="0" borderId="7" xfId="0" applyFont="1" applyBorder="1" applyAlignment="1">
      <alignment horizontal="center" vertical="center" textRotation="180" wrapText="1"/>
    </xf>
    <xf numFmtId="0" fontId="0" fillId="0" borderId="2" xfId="0" applyBorder="1" applyAlignment="1">
      <alignment textRotation="180" wrapText="1"/>
    </xf>
    <xf numFmtId="0" fontId="5" fillId="0" borderId="5" xfId="0" applyFont="1" applyBorder="1" applyAlignment="1">
      <alignment horizontal="center" vertical="center" textRotation="180" wrapText="1"/>
    </xf>
    <xf numFmtId="0" fontId="0" fillId="0" borderId="3" xfId="0" applyBorder="1" applyAlignment="1">
      <alignment textRotation="180" wrapText="1"/>
    </xf>
    <xf numFmtId="0" fontId="5" fillId="0" borderId="6" xfId="0" applyFont="1" applyBorder="1" applyAlignment="1">
      <alignment horizontal="center" vertical="center" textRotation="180" wrapText="1"/>
    </xf>
    <xf numFmtId="0" fontId="0" fillId="0" borderId="1" xfId="0" applyBorder="1" applyAlignment="1">
      <alignment textRotation="180" wrapText="1"/>
    </xf>
    <xf numFmtId="0" fontId="9" fillId="2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4" xfId="0" applyBorder="1" applyAlignment="1">
      <alignment/>
    </xf>
    <xf numFmtId="0" fontId="0" fillId="0" borderId="27" xfId="0" applyBorder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6" xfId="0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view="pageBreakPreview" zoomScaleSheetLayoutView="100" workbookViewId="0" topLeftCell="A47">
      <selection activeCell="B51" sqref="B51"/>
    </sheetView>
  </sheetViews>
  <sheetFormatPr defaultColWidth="9.140625" defaultRowHeight="12.75"/>
  <cols>
    <col min="1" max="1" width="5.421875" style="0" customWidth="1"/>
    <col min="3" max="3" width="10.57421875" style="0" customWidth="1"/>
    <col min="4" max="4" width="11.00390625" style="0" customWidth="1"/>
    <col min="5" max="5" width="12.421875" style="0" customWidth="1"/>
    <col min="7" max="30" width="6.28125" style="0" customWidth="1"/>
    <col min="31" max="31" width="11.7109375" style="0" bestFit="1" customWidth="1"/>
  </cols>
  <sheetData>
    <row r="1" spans="1:30" ht="19.5" customHeight="1">
      <c r="A1" s="1"/>
      <c r="B1" s="95" t="s">
        <v>41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</row>
    <row r="2" spans="1:30" ht="17.25" customHeight="1">
      <c r="A2" s="1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24" customHeight="1">
      <c r="A3" s="1"/>
      <c r="B3" s="134" t="s">
        <v>16</v>
      </c>
      <c r="C3" s="9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ht="17.25" customHeight="1">
      <c r="A4" s="1"/>
      <c r="B4" s="95" t="s">
        <v>44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22.5" customHeight="1">
      <c r="A5" s="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ht="15.75" customHeight="1" thickBot="1">
      <c r="A6" s="1"/>
      <c r="B6" s="135" t="s">
        <v>42</v>
      </c>
      <c r="C6" s="135"/>
      <c r="D6" s="13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6.5" customHeight="1">
      <c r="A7" s="136" t="s">
        <v>43</v>
      </c>
      <c r="B7" s="106" t="s">
        <v>9</v>
      </c>
      <c r="C7" s="107"/>
      <c r="D7" s="108" t="s">
        <v>0</v>
      </c>
      <c r="E7" s="109" t="s">
        <v>1</v>
      </c>
      <c r="F7" s="124" t="s">
        <v>2</v>
      </c>
      <c r="G7" s="126" t="s">
        <v>3</v>
      </c>
      <c r="H7" s="128" t="s">
        <v>19</v>
      </c>
      <c r="I7" s="123" t="s">
        <v>14</v>
      </c>
      <c r="J7" s="101" t="s">
        <v>15</v>
      </c>
      <c r="K7" s="103">
        <v>2004</v>
      </c>
      <c r="L7" s="104"/>
      <c r="M7" s="104"/>
      <c r="N7" s="105"/>
      <c r="O7" s="103">
        <v>2005</v>
      </c>
      <c r="P7" s="104"/>
      <c r="Q7" s="104"/>
      <c r="R7" s="105"/>
      <c r="S7" s="103">
        <v>2006</v>
      </c>
      <c r="T7" s="104"/>
      <c r="U7" s="104"/>
      <c r="V7" s="105"/>
      <c r="W7" s="103">
        <v>2007</v>
      </c>
      <c r="X7" s="104"/>
      <c r="Y7" s="104"/>
      <c r="Z7" s="105"/>
      <c r="AA7" s="103">
        <v>2008</v>
      </c>
      <c r="AB7" s="104"/>
      <c r="AC7" s="104"/>
      <c r="AD7" s="105"/>
    </row>
    <row r="8" spans="1:30" ht="73.5" customHeight="1">
      <c r="A8" s="137"/>
      <c r="B8" s="99"/>
      <c r="C8" s="99"/>
      <c r="D8" s="99"/>
      <c r="E8" s="99"/>
      <c r="F8" s="125"/>
      <c r="G8" s="127"/>
      <c r="H8" s="129"/>
      <c r="I8" s="94"/>
      <c r="J8" s="102"/>
      <c r="K8" s="73" t="s">
        <v>21</v>
      </c>
      <c r="L8" s="21" t="s">
        <v>13</v>
      </c>
      <c r="M8" s="21" t="s">
        <v>14</v>
      </c>
      <c r="N8" s="31" t="s">
        <v>15</v>
      </c>
      <c r="O8" s="73" t="s">
        <v>22</v>
      </c>
      <c r="P8" s="21" t="s">
        <v>13</v>
      </c>
      <c r="Q8" s="21" t="s">
        <v>14</v>
      </c>
      <c r="R8" s="31" t="s">
        <v>15</v>
      </c>
      <c r="S8" s="73" t="s">
        <v>4</v>
      </c>
      <c r="T8" s="21" t="s">
        <v>19</v>
      </c>
      <c r="U8" s="21" t="s">
        <v>14</v>
      </c>
      <c r="V8" s="31" t="s">
        <v>15</v>
      </c>
      <c r="W8" s="73" t="s">
        <v>18</v>
      </c>
      <c r="X8" s="21" t="s">
        <v>13</v>
      </c>
      <c r="Y8" s="21" t="s">
        <v>14</v>
      </c>
      <c r="Z8" s="31" t="s">
        <v>15</v>
      </c>
      <c r="AA8" s="73" t="s">
        <v>17</v>
      </c>
      <c r="AB8" s="21" t="s">
        <v>13</v>
      </c>
      <c r="AC8" s="21" t="s">
        <v>14</v>
      </c>
      <c r="AD8" s="31" t="s">
        <v>15</v>
      </c>
    </row>
    <row r="9" spans="1:30" ht="13.5" customHeight="1" thickBot="1">
      <c r="A9" s="32">
        <v>1</v>
      </c>
      <c r="B9" s="110">
        <f>A9+1</f>
        <v>2</v>
      </c>
      <c r="C9" s="110"/>
      <c r="D9" s="20">
        <f>B9+1</f>
        <v>3</v>
      </c>
      <c r="E9" s="20">
        <f>D9+1</f>
        <v>4</v>
      </c>
      <c r="F9" s="33">
        <f>E9+1</f>
        <v>5</v>
      </c>
      <c r="G9" s="70">
        <f>F9+1</f>
        <v>6</v>
      </c>
      <c r="H9" s="71">
        <f aca="true" t="shared" si="0" ref="H9:AD9">G9+1</f>
        <v>7</v>
      </c>
      <c r="I9" s="71">
        <f t="shared" si="0"/>
        <v>8</v>
      </c>
      <c r="J9" s="72">
        <f t="shared" si="0"/>
        <v>9</v>
      </c>
      <c r="K9" s="70">
        <f t="shared" si="0"/>
        <v>10</v>
      </c>
      <c r="L9" s="71">
        <f t="shared" si="0"/>
        <v>11</v>
      </c>
      <c r="M9" s="71">
        <f t="shared" si="0"/>
        <v>12</v>
      </c>
      <c r="N9" s="72">
        <f t="shared" si="0"/>
        <v>13</v>
      </c>
      <c r="O9" s="70">
        <f t="shared" si="0"/>
        <v>14</v>
      </c>
      <c r="P9" s="71">
        <f t="shared" si="0"/>
        <v>15</v>
      </c>
      <c r="Q9" s="71">
        <f t="shared" si="0"/>
        <v>16</v>
      </c>
      <c r="R9" s="72">
        <f t="shared" si="0"/>
        <v>17</v>
      </c>
      <c r="S9" s="70">
        <f t="shared" si="0"/>
        <v>18</v>
      </c>
      <c r="T9" s="71">
        <f t="shared" si="0"/>
        <v>19</v>
      </c>
      <c r="U9" s="71">
        <f t="shared" si="0"/>
        <v>20</v>
      </c>
      <c r="V9" s="72">
        <f t="shared" si="0"/>
        <v>21</v>
      </c>
      <c r="W9" s="70">
        <f t="shared" si="0"/>
        <v>22</v>
      </c>
      <c r="X9" s="71">
        <f t="shared" si="0"/>
        <v>23</v>
      </c>
      <c r="Y9" s="71">
        <f t="shared" si="0"/>
        <v>24</v>
      </c>
      <c r="Z9" s="72">
        <f t="shared" si="0"/>
        <v>25</v>
      </c>
      <c r="AA9" s="70">
        <f t="shared" si="0"/>
        <v>26</v>
      </c>
      <c r="AB9" s="71">
        <f t="shared" si="0"/>
        <v>27</v>
      </c>
      <c r="AC9" s="71">
        <f t="shared" si="0"/>
        <v>28</v>
      </c>
      <c r="AD9" s="72">
        <f t="shared" si="0"/>
        <v>29</v>
      </c>
    </row>
    <row r="10" spans="1:30" ht="51" customHeight="1">
      <c r="A10" s="34"/>
      <c r="B10" s="114" t="s">
        <v>6</v>
      </c>
      <c r="C10" s="114"/>
      <c r="D10" s="99"/>
      <c r="E10" s="99"/>
      <c r="F10" s="100"/>
      <c r="G10" s="44">
        <f>G11+G13+G32+G34+G36+G38</f>
        <v>120118.94177</v>
      </c>
      <c r="H10" s="45">
        <f aca="true" t="shared" si="1" ref="H10:AD10">H11+H13+H32+H34+H36+H38</f>
        <v>87013.95632</v>
      </c>
      <c r="I10" s="45">
        <f t="shared" si="1"/>
        <v>31853.985440000004</v>
      </c>
      <c r="J10" s="46">
        <f t="shared" si="1"/>
        <v>1251</v>
      </c>
      <c r="K10" s="44">
        <f t="shared" si="1"/>
        <v>3969</v>
      </c>
      <c r="L10" s="45">
        <f t="shared" si="1"/>
        <v>2729</v>
      </c>
      <c r="M10" s="45">
        <f t="shared" si="1"/>
        <v>1239</v>
      </c>
      <c r="N10" s="46">
        <f t="shared" si="1"/>
        <v>0</v>
      </c>
      <c r="O10" s="44">
        <f t="shared" si="1"/>
        <v>17897.36627</v>
      </c>
      <c r="P10" s="45">
        <f t="shared" si="1"/>
        <v>12726.2747</v>
      </c>
      <c r="Q10" s="45">
        <f t="shared" si="1"/>
        <v>5171.09157</v>
      </c>
      <c r="R10" s="46">
        <f t="shared" si="1"/>
        <v>0</v>
      </c>
      <c r="S10" s="44">
        <f t="shared" si="1"/>
        <v>52174.750289999996</v>
      </c>
      <c r="T10" s="45">
        <f t="shared" si="1"/>
        <v>38147.81271</v>
      </c>
      <c r="U10" s="45">
        <f t="shared" si="1"/>
        <v>13768.93757</v>
      </c>
      <c r="V10" s="46">
        <f t="shared" si="1"/>
        <v>258</v>
      </c>
      <c r="W10" s="44">
        <f t="shared" si="1"/>
        <v>34675.51568</v>
      </c>
      <c r="X10" s="45">
        <f t="shared" si="1"/>
        <v>24987.136759999998</v>
      </c>
      <c r="Y10" s="45">
        <f t="shared" si="1"/>
        <v>8865.37891</v>
      </c>
      <c r="Z10" s="46">
        <f t="shared" si="1"/>
        <v>823</v>
      </c>
      <c r="AA10" s="44">
        <f t="shared" si="1"/>
        <v>11401.30953</v>
      </c>
      <c r="AB10" s="45">
        <f t="shared" si="1"/>
        <v>8423.73215</v>
      </c>
      <c r="AC10" s="45">
        <f t="shared" si="1"/>
        <v>2807.57739</v>
      </c>
      <c r="AD10" s="46">
        <f t="shared" si="1"/>
        <v>170</v>
      </c>
    </row>
    <row r="11" spans="1:30" ht="42" customHeight="1">
      <c r="A11" s="34"/>
      <c r="B11" s="97" t="s">
        <v>24</v>
      </c>
      <c r="C11" s="98"/>
      <c r="D11" s="99"/>
      <c r="E11" s="99"/>
      <c r="F11" s="100"/>
      <c r="G11" s="47">
        <f aca="true" t="shared" si="2" ref="G11:AD11">G12</f>
        <v>34264.78896</v>
      </c>
      <c r="H11" s="5">
        <f t="shared" si="2"/>
        <v>25698.59172</v>
      </c>
      <c r="I11" s="5">
        <f t="shared" si="2"/>
        <v>8566.19724</v>
      </c>
      <c r="J11" s="16">
        <f t="shared" si="2"/>
        <v>0</v>
      </c>
      <c r="K11" s="47">
        <f t="shared" si="2"/>
        <v>0</v>
      </c>
      <c r="L11" s="5">
        <f t="shared" si="2"/>
        <v>0</v>
      </c>
      <c r="M11" s="5">
        <f t="shared" si="2"/>
        <v>0</v>
      </c>
      <c r="N11" s="16">
        <f t="shared" si="2"/>
        <v>0</v>
      </c>
      <c r="O11" s="47">
        <f t="shared" si="2"/>
        <v>4133.23533</v>
      </c>
      <c r="P11" s="5">
        <f t="shared" si="2"/>
        <v>3099.9265</v>
      </c>
      <c r="Q11" s="5">
        <f t="shared" si="2"/>
        <v>1033.30883</v>
      </c>
      <c r="R11" s="16">
        <f t="shared" si="2"/>
        <v>0</v>
      </c>
      <c r="S11" s="47">
        <f t="shared" si="2"/>
        <v>18982.42064</v>
      </c>
      <c r="T11" s="5">
        <f t="shared" si="2"/>
        <v>14236.815480000001</v>
      </c>
      <c r="U11" s="5">
        <f t="shared" si="2"/>
        <v>4745.60516</v>
      </c>
      <c r="V11" s="16">
        <f t="shared" si="2"/>
        <v>0</v>
      </c>
      <c r="W11" s="47">
        <f t="shared" si="2"/>
        <v>7202.17721</v>
      </c>
      <c r="X11" s="5">
        <f t="shared" si="2"/>
        <v>5401.63291</v>
      </c>
      <c r="Y11" s="5">
        <f t="shared" si="2"/>
        <v>1800.5443</v>
      </c>
      <c r="Z11" s="16">
        <f t="shared" si="2"/>
        <v>0</v>
      </c>
      <c r="AA11" s="47">
        <f t="shared" si="2"/>
        <v>3946.95578</v>
      </c>
      <c r="AB11" s="5">
        <f t="shared" si="2"/>
        <v>2960.21684</v>
      </c>
      <c r="AC11" s="5">
        <f t="shared" si="2"/>
        <v>986.7389499999999</v>
      </c>
      <c r="AD11" s="16">
        <f t="shared" si="2"/>
        <v>0</v>
      </c>
    </row>
    <row r="12" spans="1:30" ht="50.25" customHeight="1">
      <c r="A12" s="91">
        <v>1</v>
      </c>
      <c r="B12" s="3" t="s">
        <v>31</v>
      </c>
      <c r="C12" s="2"/>
      <c r="D12" s="2" t="s">
        <v>5</v>
      </c>
      <c r="E12" s="2"/>
      <c r="F12" s="74" t="s">
        <v>25</v>
      </c>
      <c r="G12" s="48">
        <v>34264.78896</v>
      </c>
      <c r="H12" s="11">
        <v>25698.59172</v>
      </c>
      <c r="I12" s="11">
        <v>8566.19724</v>
      </c>
      <c r="J12" s="17">
        <v>0</v>
      </c>
      <c r="K12" s="48">
        <v>0</v>
      </c>
      <c r="L12" s="11">
        <v>0</v>
      </c>
      <c r="M12" s="11">
        <v>0</v>
      </c>
      <c r="N12" s="17">
        <v>0</v>
      </c>
      <c r="O12" s="48">
        <v>4133.23533</v>
      </c>
      <c r="P12" s="11">
        <v>3099.9265</v>
      </c>
      <c r="Q12" s="11">
        <v>1033.30883</v>
      </c>
      <c r="R12" s="17">
        <v>0</v>
      </c>
      <c r="S12" s="48">
        <v>18982.42064</v>
      </c>
      <c r="T12" s="11">
        <v>14236.815480000001</v>
      </c>
      <c r="U12" s="11">
        <v>4745.60516</v>
      </c>
      <c r="V12" s="17">
        <v>0</v>
      </c>
      <c r="W12" s="48">
        <v>7202.17721</v>
      </c>
      <c r="X12" s="11">
        <v>5401.63291</v>
      </c>
      <c r="Y12" s="11">
        <v>1800.5443</v>
      </c>
      <c r="Z12" s="17">
        <v>0</v>
      </c>
      <c r="AA12" s="48">
        <v>3946.95578</v>
      </c>
      <c r="AB12" s="11">
        <v>2960.21684</v>
      </c>
      <c r="AC12" s="11">
        <v>986.7389499999999</v>
      </c>
      <c r="AD12" s="17">
        <v>0</v>
      </c>
    </row>
    <row r="13" spans="1:30" ht="42" customHeight="1">
      <c r="A13" s="91"/>
      <c r="B13" s="97" t="s">
        <v>7</v>
      </c>
      <c r="C13" s="98"/>
      <c r="D13" s="99"/>
      <c r="E13" s="99"/>
      <c r="F13" s="100"/>
      <c r="G13" s="47">
        <f>G14+G26</f>
        <v>51496</v>
      </c>
      <c r="H13" s="5">
        <f aca="true" t="shared" si="3" ref="H13:AD13">H14+H26</f>
        <v>35547</v>
      </c>
      <c r="I13" s="5">
        <f t="shared" si="3"/>
        <v>14698</v>
      </c>
      <c r="J13" s="16">
        <f t="shared" si="3"/>
        <v>1251</v>
      </c>
      <c r="K13" s="47">
        <f t="shared" si="3"/>
        <v>3969</v>
      </c>
      <c r="L13" s="5">
        <f t="shared" si="3"/>
        <v>2729</v>
      </c>
      <c r="M13" s="5">
        <f t="shared" si="3"/>
        <v>1239</v>
      </c>
      <c r="N13" s="16">
        <f t="shared" si="3"/>
        <v>0</v>
      </c>
      <c r="O13" s="47">
        <f t="shared" si="3"/>
        <v>11696</v>
      </c>
      <c r="P13" s="5">
        <f t="shared" si="3"/>
        <v>8075</v>
      </c>
      <c r="Q13" s="5">
        <f t="shared" si="3"/>
        <v>3621</v>
      </c>
      <c r="R13" s="16">
        <f t="shared" si="3"/>
        <v>0</v>
      </c>
      <c r="S13" s="47">
        <f t="shared" si="3"/>
        <v>16502</v>
      </c>
      <c r="T13" s="5">
        <f t="shared" si="3"/>
        <v>11393</v>
      </c>
      <c r="U13" s="5">
        <f t="shared" si="3"/>
        <v>4851</v>
      </c>
      <c r="V13" s="16">
        <f t="shared" si="3"/>
        <v>258</v>
      </c>
      <c r="W13" s="47">
        <f t="shared" si="3"/>
        <v>17194</v>
      </c>
      <c r="X13" s="5">
        <f t="shared" si="3"/>
        <v>11876</v>
      </c>
      <c r="Y13" s="5">
        <f t="shared" si="3"/>
        <v>4495</v>
      </c>
      <c r="Z13" s="16">
        <f t="shared" si="3"/>
        <v>823</v>
      </c>
      <c r="AA13" s="47">
        <f t="shared" si="3"/>
        <v>2134</v>
      </c>
      <c r="AB13" s="5">
        <f t="shared" si="3"/>
        <v>1473</v>
      </c>
      <c r="AC13" s="5">
        <f t="shared" si="3"/>
        <v>491</v>
      </c>
      <c r="AD13" s="16">
        <f t="shared" si="3"/>
        <v>170</v>
      </c>
    </row>
    <row r="14" spans="1:31" ht="73.5" customHeight="1">
      <c r="A14" s="91">
        <v>2</v>
      </c>
      <c r="B14" s="3" t="s">
        <v>8</v>
      </c>
      <c r="C14" s="2" t="s">
        <v>26</v>
      </c>
      <c r="D14" s="2" t="s">
        <v>5</v>
      </c>
      <c r="E14" s="2" t="s">
        <v>11</v>
      </c>
      <c r="F14" s="74" t="s">
        <v>30</v>
      </c>
      <c r="G14" s="49">
        <f>H14+I14</f>
        <v>30719</v>
      </c>
      <c r="H14" s="13">
        <v>20904</v>
      </c>
      <c r="I14" s="13">
        <v>9815</v>
      </c>
      <c r="J14" s="18">
        <v>0</v>
      </c>
      <c r="K14" s="59">
        <v>3557</v>
      </c>
      <c r="L14" s="14">
        <v>2420</v>
      </c>
      <c r="M14" s="14">
        <f>1136</f>
        <v>1136</v>
      </c>
      <c r="N14" s="18">
        <v>0</v>
      </c>
      <c r="O14" s="59">
        <f>P14+Q14</f>
        <v>10032</v>
      </c>
      <c r="P14" s="14">
        <f>3433+3393+1</f>
        <v>6827</v>
      </c>
      <c r="Q14" s="14">
        <f>1612+1593</f>
        <v>3205</v>
      </c>
      <c r="R14" s="18">
        <v>0</v>
      </c>
      <c r="S14" s="52">
        <f>T14+U14</f>
        <v>11358</v>
      </c>
      <c r="T14" s="6">
        <f>5118+2611</f>
        <v>7729</v>
      </c>
      <c r="U14" s="6">
        <f>2403+1226</f>
        <v>3629</v>
      </c>
      <c r="V14" s="18">
        <v>0</v>
      </c>
      <c r="W14" s="52">
        <f>X14+Y14</f>
        <v>5771</v>
      </c>
      <c r="X14" s="6">
        <v>3927</v>
      </c>
      <c r="Y14" s="6">
        <v>1844</v>
      </c>
      <c r="Z14" s="18">
        <v>0</v>
      </c>
      <c r="AA14" s="52">
        <v>0</v>
      </c>
      <c r="AB14" s="6">
        <v>0</v>
      </c>
      <c r="AC14" s="6">
        <v>0</v>
      </c>
      <c r="AD14" s="18">
        <v>0</v>
      </c>
      <c r="AE14" s="4"/>
    </row>
    <row r="15" spans="1:30" ht="22.5" customHeight="1" hidden="1">
      <c r="A15" s="91"/>
      <c r="B15" s="22"/>
      <c r="C15" s="23"/>
      <c r="D15" s="23"/>
      <c r="E15" s="23"/>
      <c r="F15" s="75"/>
      <c r="G15" s="50"/>
      <c r="H15" s="24"/>
      <c r="I15" s="24"/>
      <c r="J15" s="51"/>
      <c r="K15" s="50"/>
      <c r="L15" s="24"/>
      <c r="M15" s="24"/>
      <c r="N15" s="51"/>
      <c r="O15" s="50">
        <f>SUM(P15:Q15)</f>
        <v>5045408.82</v>
      </c>
      <c r="P15" s="25">
        <f>SUM(P16:P19)</f>
        <v>3433331.0500000003</v>
      </c>
      <c r="Q15" s="25">
        <f>SUM(Q16:Q19)</f>
        <v>1612077.77</v>
      </c>
      <c r="R15" s="51"/>
      <c r="S15" s="50">
        <f>SUM(T15:U15)</f>
        <v>7521011.4</v>
      </c>
      <c r="T15" s="24">
        <f>P22-P20</f>
        <v>5118048.12</v>
      </c>
      <c r="U15" s="24">
        <f>P23-Q20</f>
        <v>2402963.2800000003</v>
      </c>
      <c r="V15" s="51"/>
      <c r="W15" s="50"/>
      <c r="X15" s="24"/>
      <c r="Y15" s="24"/>
      <c r="Z15" s="51"/>
      <c r="AA15" s="50"/>
      <c r="AB15" s="24"/>
      <c r="AC15" s="24"/>
      <c r="AD15" s="35"/>
    </row>
    <row r="16" spans="1:30" ht="22.5" customHeight="1" hidden="1">
      <c r="A16" s="91"/>
      <c r="B16" s="22"/>
      <c r="C16" s="23"/>
      <c r="D16" s="23"/>
      <c r="E16" s="23"/>
      <c r="F16" s="75"/>
      <c r="G16" s="50"/>
      <c r="H16" s="24"/>
      <c r="I16" s="24"/>
      <c r="J16" s="51"/>
      <c r="K16" s="50"/>
      <c r="L16" s="24"/>
      <c r="M16" s="24"/>
      <c r="N16" s="51"/>
      <c r="O16" s="50"/>
      <c r="P16" s="13">
        <v>1720744</v>
      </c>
      <c r="Q16" s="13">
        <v>807902</v>
      </c>
      <c r="R16" s="51"/>
      <c r="S16" s="50">
        <f>SUM(T16:U16)</f>
        <v>3837153.6399999997</v>
      </c>
      <c r="T16" s="24">
        <v>2611183.05</v>
      </c>
      <c r="U16" s="24">
        <v>1225970.59</v>
      </c>
      <c r="V16" s="51"/>
      <c r="W16" s="50">
        <f>SUM(X16:Y16)</f>
        <v>5771278.04</v>
      </c>
      <c r="X16" s="24">
        <v>3927354.71</v>
      </c>
      <c r="Y16" s="24">
        <v>1843923.33</v>
      </c>
      <c r="Z16" s="51"/>
      <c r="AA16" s="50"/>
      <c r="AB16" s="24"/>
      <c r="AC16" s="24"/>
      <c r="AD16" s="35"/>
    </row>
    <row r="17" spans="1:30" ht="22.5" customHeight="1" hidden="1">
      <c r="A17" s="91"/>
      <c r="B17" s="22"/>
      <c r="C17" s="23"/>
      <c r="D17" s="23"/>
      <c r="E17" s="23"/>
      <c r="F17" s="75"/>
      <c r="G17" s="50"/>
      <c r="H17" s="24"/>
      <c r="I17" s="24"/>
      <c r="J17" s="51"/>
      <c r="K17" s="50"/>
      <c r="L17" s="24"/>
      <c r="M17" s="24"/>
      <c r="N17" s="51"/>
      <c r="O17" s="50"/>
      <c r="P17" s="13">
        <v>1818033.31</v>
      </c>
      <c r="Q17" s="13">
        <v>853683.6</v>
      </c>
      <c r="R17" s="51"/>
      <c r="S17" s="50">
        <f>T17+U17</f>
        <v>3837153.6399999997</v>
      </c>
      <c r="T17" s="24">
        <v>2611183.05</v>
      </c>
      <c r="U17" s="24">
        <v>1225970.59</v>
      </c>
      <c r="V17" s="51">
        <v>0</v>
      </c>
      <c r="W17" s="50"/>
      <c r="X17" s="24"/>
      <c r="Y17" s="24"/>
      <c r="Z17" s="51"/>
      <c r="AA17" s="50"/>
      <c r="AB17" s="24"/>
      <c r="AC17" s="24"/>
      <c r="AD17" s="35"/>
    </row>
    <row r="18" spans="1:30" ht="22.5" customHeight="1" hidden="1">
      <c r="A18" s="91"/>
      <c r="B18" s="22"/>
      <c r="C18" s="23"/>
      <c r="D18" s="23"/>
      <c r="E18" s="23"/>
      <c r="F18" s="75"/>
      <c r="G18" s="50"/>
      <c r="H18" s="24"/>
      <c r="I18" s="24"/>
      <c r="J18" s="51"/>
      <c r="K18" s="50"/>
      <c r="L18" s="24"/>
      <c r="M18" s="24"/>
      <c r="N18" s="51"/>
      <c r="O18" s="50"/>
      <c r="P18" s="13">
        <v>-2109.13</v>
      </c>
      <c r="Q18" s="13">
        <v>-990.26</v>
      </c>
      <c r="R18" s="51"/>
      <c r="S18" s="50"/>
      <c r="T18" s="24"/>
      <c r="U18" s="24"/>
      <c r="V18" s="51"/>
      <c r="W18" s="50"/>
      <c r="X18" s="24"/>
      <c r="Y18" s="24"/>
      <c r="Z18" s="51"/>
      <c r="AA18" s="50"/>
      <c r="AB18" s="24"/>
      <c r="AC18" s="24"/>
      <c r="AD18" s="35"/>
    </row>
    <row r="19" spans="1:30" ht="22.5" customHeight="1" hidden="1">
      <c r="A19" s="91"/>
      <c r="B19" s="22"/>
      <c r="C19" s="23"/>
      <c r="D19" s="23"/>
      <c r="E19" s="23"/>
      <c r="F19" s="75"/>
      <c r="G19" s="50"/>
      <c r="H19" s="24"/>
      <c r="I19" s="24"/>
      <c r="J19" s="51"/>
      <c r="K19" s="50"/>
      <c r="L19" s="24"/>
      <c r="M19" s="24"/>
      <c r="N19" s="51"/>
      <c r="O19" s="50"/>
      <c r="P19" s="13">
        <v>-103337.13</v>
      </c>
      <c r="Q19" s="13">
        <f>-48517.57</f>
        <v>-48517.57</v>
      </c>
      <c r="R19" s="51"/>
      <c r="S19" s="50"/>
      <c r="T19" s="24"/>
      <c r="U19" s="24"/>
      <c r="V19" s="51"/>
      <c r="W19" s="50"/>
      <c r="X19" s="24"/>
      <c r="Y19" s="24"/>
      <c r="Z19" s="51"/>
      <c r="AA19" s="50"/>
      <c r="AB19" s="24"/>
      <c r="AC19" s="24"/>
      <c r="AD19" s="35"/>
    </row>
    <row r="20" spans="1:30" ht="22.5" customHeight="1" hidden="1">
      <c r="A20" s="91"/>
      <c r="B20" s="22"/>
      <c r="C20" s="23"/>
      <c r="D20" s="23"/>
      <c r="E20" s="23"/>
      <c r="F20" s="75"/>
      <c r="G20" s="50"/>
      <c r="H20" s="24"/>
      <c r="I20" s="24"/>
      <c r="J20" s="51"/>
      <c r="K20" s="50"/>
      <c r="L20" s="24"/>
      <c r="M20" s="24"/>
      <c r="N20" s="51"/>
      <c r="O20" s="50">
        <f>SUM(P20:Q20)</f>
        <v>4987191.6</v>
      </c>
      <c r="P20" s="14">
        <v>3393783.88</v>
      </c>
      <c r="Q20" s="14">
        <v>1593407.72</v>
      </c>
      <c r="R20" s="51"/>
      <c r="S20" s="50"/>
      <c r="T20" s="24"/>
      <c r="U20" s="24"/>
      <c r="V20" s="51"/>
      <c r="W20" s="50"/>
      <c r="X20" s="24"/>
      <c r="Y20" s="24"/>
      <c r="Z20" s="51"/>
      <c r="AA20" s="50"/>
      <c r="AB20" s="24"/>
      <c r="AC20" s="24"/>
      <c r="AD20" s="35"/>
    </row>
    <row r="21" spans="1:30" ht="22.5" customHeight="1" hidden="1">
      <c r="A21" s="91"/>
      <c r="B21" s="22"/>
      <c r="C21" s="23"/>
      <c r="D21" s="23"/>
      <c r="E21" s="23"/>
      <c r="F21" s="75"/>
      <c r="G21" s="50"/>
      <c r="H21" s="24"/>
      <c r="I21" s="24"/>
      <c r="J21" s="51"/>
      <c r="K21" s="50"/>
      <c r="L21" s="24"/>
      <c r="M21" s="24"/>
      <c r="N21" s="51"/>
      <c r="O21" s="50"/>
      <c r="P21" s="24"/>
      <c r="Q21" s="24"/>
      <c r="R21" s="61"/>
      <c r="S21" s="50"/>
      <c r="T21" s="24"/>
      <c r="U21" s="24"/>
      <c r="V21" s="51"/>
      <c r="W21" s="50"/>
      <c r="X21" s="24"/>
      <c r="Y21" s="24"/>
      <c r="Z21" s="51"/>
      <c r="AA21" s="50"/>
      <c r="AB21" s="24"/>
      <c r="AC21" s="24"/>
      <c r="AD21" s="35"/>
    </row>
    <row r="22" spans="1:30" ht="22.5" customHeight="1" hidden="1">
      <c r="A22" s="91"/>
      <c r="B22" s="22"/>
      <c r="C22" s="23"/>
      <c r="D22" s="23"/>
      <c r="E22" s="23"/>
      <c r="F22" s="75"/>
      <c r="G22" s="50"/>
      <c r="H22" s="24"/>
      <c r="I22" s="24"/>
      <c r="J22" s="51"/>
      <c r="K22" s="50"/>
      <c r="L22" s="24"/>
      <c r="M22" s="24"/>
      <c r="N22" s="51"/>
      <c r="O22" s="50"/>
      <c r="P22" s="14">
        <v>8511832</v>
      </c>
      <c r="Q22" s="13"/>
      <c r="R22" s="51"/>
      <c r="S22" s="50"/>
      <c r="T22" s="24"/>
      <c r="U22" s="24"/>
      <c r="V22" s="51"/>
      <c r="W22" s="50"/>
      <c r="X22" s="24"/>
      <c r="Y22" s="24"/>
      <c r="Z22" s="51"/>
      <c r="AA22" s="50"/>
      <c r="AB22" s="24"/>
      <c r="AC22" s="24"/>
      <c r="AD22" s="35"/>
    </row>
    <row r="23" spans="1:30" ht="22.5" customHeight="1" hidden="1">
      <c r="A23" s="91"/>
      <c r="B23" s="22"/>
      <c r="C23" s="23"/>
      <c r="D23" s="23"/>
      <c r="E23" s="23"/>
      <c r="F23" s="75"/>
      <c r="G23" s="50"/>
      <c r="H23" s="24"/>
      <c r="I23" s="24"/>
      <c r="J23" s="51"/>
      <c r="K23" s="50"/>
      <c r="L23" s="24"/>
      <c r="M23" s="24"/>
      <c r="N23" s="51"/>
      <c r="O23" s="50"/>
      <c r="P23" s="14">
        <v>3996371</v>
      </c>
      <c r="Q23" s="13"/>
      <c r="R23" s="51"/>
      <c r="S23" s="50"/>
      <c r="T23" s="24"/>
      <c r="U23" s="24"/>
      <c r="V23" s="51"/>
      <c r="W23" s="50"/>
      <c r="X23" s="24"/>
      <c r="Y23" s="24"/>
      <c r="Z23" s="51"/>
      <c r="AA23" s="50"/>
      <c r="AB23" s="24"/>
      <c r="AC23" s="24"/>
      <c r="AD23" s="35"/>
    </row>
    <row r="24" spans="1:30" ht="22.5" customHeight="1" hidden="1">
      <c r="A24" s="91"/>
      <c r="B24" s="22"/>
      <c r="C24" s="23"/>
      <c r="D24" s="23"/>
      <c r="E24" s="23"/>
      <c r="F24" s="75"/>
      <c r="G24" s="50"/>
      <c r="H24" s="24"/>
      <c r="I24" s="24"/>
      <c r="J24" s="51"/>
      <c r="K24" s="50"/>
      <c r="L24" s="24"/>
      <c r="M24" s="24"/>
      <c r="N24" s="51"/>
      <c r="O24" s="50"/>
      <c r="P24" s="14">
        <v>0</v>
      </c>
      <c r="Q24" s="13"/>
      <c r="R24" s="51"/>
      <c r="S24" s="50"/>
      <c r="T24" s="24"/>
      <c r="U24" s="24"/>
      <c r="V24" s="51"/>
      <c r="W24" s="50"/>
      <c r="X24" s="24"/>
      <c r="Y24" s="24"/>
      <c r="Z24" s="51"/>
      <c r="AA24" s="50"/>
      <c r="AB24" s="24"/>
      <c r="AC24" s="24"/>
      <c r="AD24" s="35"/>
    </row>
    <row r="25" spans="1:30" ht="22.5" customHeight="1" hidden="1">
      <c r="A25" s="91"/>
      <c r="B25" s="22"/>
      <c r="C25" s="23"/>
      <c r="D25" s="23"/>
      <c r="E25" s="23"/>
      <c r="F25" s="75"/>
      <c r="G25" s="50"/>
      <c r="H25" s="24"/>
      <c r="I25" s="24"/>
      <c r="J25" s="51"/>
      <c r="K25" s="50"/>
      <c r="L25" s="24"/>
      <c r="M25" s="24"/>
      <c r="N25" s="51"/>
      <c r="O25" s="50"/>
      <c r="P25" s="14">
        <v>12508203</v>
      </c>
      <c r="Q25" s="13"/>
      <c r="R25" s="51"/>
      <c r="S25" s="50"/>
      <c r="T25" s="24"/>
      <c r="U25" s="24"/>
      <c r="V25" s="51"/>
      <c r="W25" s="50"/>
      <c r="X25" s="24"/>
      <c r="Y25" s="24"/>
      <c r="Z25" s="51"/>
      <c r="AA25" s="50"/>
      <c r="AB25" s="24"/>
      <c r="AC25" s="24"/>
      <c r="AD25" s="35"/>
    </row>
    <row r="26" spans="1:30" ht="73.5" customHeight="1">
      <c r="A26" s="91">
        <v>3</v>
      </c>
      <c r="B26" s="3" t="s">
        <v>8</v>
      </c>
      <c r="C26" s="2" t="s">
        <v>10</v>
      </c>
      <c r="D26" s="2" t="s">
        <v>5</v>
      </c>
      <c r="E26" s="2" t="s">
        <v>11</v>
      </c>
      <c r="F26" s="74" t="s">
        <v>12</v>
      </c>
      <c r="G26" s="52">
        <f>K26+O26+S26+W26+AA26</f>
        <v>20777</v>
      </c>
      <c r="H26" s="6">
        <f>L26+P26+T26+X26+AB26</f>
        <v>14643</v>
      </c>
      <c r="I26" s="6">
        <f>M26+Q26+U26+Y26+AC26</f>
        <v>4883</v>
      </c>
      <c r="J26" s="18">
        <f>N26+R26+V26+Z26+AD26</f>
        <v>1251</v>
      </c>
      <c r="K26" s="52">
        <f>L26+M26</f>
        <v>412</v>
      </c>
      <c r="L26" s="6">
        <v>309</v>
      </c>
      <c r="M26" s="6">
        <v>103</v>
      </c>
      <c r="N26" s="18">
        <v>0</v>
      </c>
      <c r="O26" s="52">
        <f>P26+Q26</f>
        <v>1664</v>
      </c>
      <c r="P26" s="6">
        <f>767+481</f>
        <v>1248</v>
      </c>
      <c r="Q26" s="6">
        <f>255+160+1</f>
        <v>416</v>
      </c>
      <c r="R26" s="18">
        <v>0</v>
      </c>
      <c r="S26" s="52">
        <f>T26+U26+V26</f>
        <v>5144</v>
      </c>
      <c r="T26" s="6">
        <v>3664</v>
      </c>
      <c r="U26" s="6">
        <v>1222</v>
      </c>
      <c r="V26" s="18">
        <v>258</v>
      </c>
      <c r="W26" s="52">
        <f>SUM(X26:Z26)</f>
        <v>11423</v>
      </c>
      <c r="X26" s="6">
        <v>7949</v>
      </c>
      <c r="Y26" s="6">
        <v>2651</v>
      </c>
      <c r="Z26" s="18">
        <v>823</v>
      </c>
      <c r="AA26" s="52">
        <f>SUM(AB26:AD26)</f>
        <v>2134</v>
      </c>
      <c r="AB26" s="6">
        <v>1473</v>
      </c>
      <c r="AC26" s="6">
        <v>491</v>
      </c>
      <c r="AD26" s="18">
        <v>170</v>
      </c>
    </row>
    <row r="27" spans="1:30" ht="12" customHeight="1" hidden="1">
      <c r="A27" s="92"/>
      <c r="B27" s="26"/>
      <c r="C27" s="26"/>
      <c r="D27" s="26"/>
      <c r="E27" s="26"/>
      <c r="F27" s="76"/>
      <c r="G27" s="53"/>
      <c r="H27" s="27"/>
      <c r="I27" s="27"/>
      <c r="J27" s="36"/>
      <c r="K27" s="53"/>
      <c r="L27" s="27"/>
      <c r="M27" s="27"/>
      <c r="N27" s="36"/>
      <c r="O27" s="53"/>
      <c r="P27" s="27"/>
      <c r="Q27" s="27"/>
      <c r="R27" s="36"/>
      <c r="S27" s="53"/>
      <c r="T27" s="27"/>
      <c r="U27" s="27"/>
      <c r="V27" s="36"/>
      <c r="W27" s="53"/>
      <c r="X27" s="27"/>
      <c r="Y27" s="27"/>
      <c r="Z27" s="36"/>
      <c r="AA27" s="53"/>
      <c r="AB27" s="27"/>
      <c r="AC27" s="27"/>
      <c r="AD27" s="36"/>
    </row>
    <row r="28" spans="1:30" ht="12.75" hidden="1">
      <c r="A28" s="92"/>
      <c r="B28" s="26"/>
      <c r="C28" s="26"/>
      <c r="D28" s="26"/>
      <c r="E28" s="26"/>
      <c r="F28" s="76"/>
      <c r="G28" s="53"/>
      <c r="H28" s="27"/>
      <c r="I28" s="27"/>
      <c r="J28" s="36"/>
      <c r="K28" s="60">
        <v>411416</v>
      </c>
      <c r="L28" s="28">
        <v>308562</v>
      </c>
      <c r="M28" s="28">
        <v>102854</v>
      </c>
      <c r="N28" s="36"/>
      <c r="O28" s="53">
        <v>1023151</v>
      </c>
      <c r="P28" s="27">
        <v>767363.25</v>
      </c>
      <c r="Q28" s="27">
        <v>255787.75</v>
      </c>
      <c r="R28" s="36"/>
      <c r="S28" s="53">
        <f>SUM(T28:U28)</f>
        <v>1419677.2999999998</v>
      </c>
      <c r="T28" s="27">
        <v>1064757.7</v>
      </c>
      <c r="U28" s="27">
        <v>354919.6</v>
      </c>
      <c r="V28" s="36"/>
      <c r="W28" s="53">
        <f>X28+Y28</f>
        <v>1079217.45</v>
      </c>
      <c r="X28" s="27">
        <v>809413.09</v>
      </c>
      <c r="Y28" s="27">
        <v>269804.36</v>
      </c>
      <c r="Z28" s="36"/>
      <c r="AA28" s="53">
        <f>SUM(AB28:AD28)</f>
        <v>2133500</v>
      </c>
      <c r="AB28" s="27">
        <v>1472606.07</v>
      </c>
      <c r="AC28" s="27">
        <v>491084.5</v>
      </c>
      <c r="AD28" s="36">
        <v>169809.43</v>
      </c>
    </row>
    <row r="29" spans="1:30" ht="12.75" hidden="1">
      <c r="A29" s="92"/>
      <c r="B29" s="26"/>
      <c r="C29" s="26"/>
      <c r="D29" s="26"/>
      <c r="E29" s="26"/>
      <c r="F29" s="76"/>
      <c r="G29" s="53"/>
      <c r="H29" s="27"/>
      <c r="I29" s="27"/>
      <c r="J29" s="36"/>
      <c r="K29" s="53"/>
      <c r="L29" s="27"/>
      <c r="M29" s="27"/>
      <c r="N29" s="36"/>
      <c r="O29" s="53">
        <f>SUM(P29:Q29)</f>
        <v>641481.7</v>
      </c>
      <c r="P29" s="29">
        <f>463761+17350.3</f>
        <v>481111.3</v>
      </c>
      <c r="Q29" s="27">
        <f>5783.4+154587</f>
        <v>160370.4</v>
      </c>
      <c r="R29" s="36"/>
      <c r="S29" s="53">
        <f>SUM(T29:U29)</f>
        <v>486988.87</v>
      </c>
      <c r="T29" s="27">
        <v>365241.65</v>
      </c>
      <c r="U29" s="27">
        <f>121747.22</f>
        <v>121747.22</v>
      </c>
      <c r="V29" s="36"/>
      <c r="W29" s="53">
        <f>SUM(X29:Z29)</f>
        <v>10343400</v>
      </c>
      <c r="X29" s="27">
        <v>7139326.8</v>
      </c>
      <c r="Y29" s="27">
        <v>2380821.85</v>
      </c>
      <c r="Z29" s="36">
        <v>823251.35</v>
      </c>
      <c r="AA29" s="53"/>
      <c r="AB29" s="27"/>
      <c r="AC29" s="27"/>
      <c r="AD29" s="36"/>
    </row>
    <row r="30" spans="1:30" ht="12.75" hidden="1">
      <c r="A30" s="92"/>
      <c r="B30" s="26"/>
      <c r="C30" s="26"/>
      <c r="D30" s="26"/>
      <c r="E30" s="26"/>
      <c r="F30" s="76"/>
      <c r="G30" s="53"/>
      <c r="H30" s="27"/>
      <c r="I30" s="27"/>
      <c r="J30" s="36"/>
      <c r="K30" s="53"/>
      <c r="L30" s="27"/>
      <c r="M30" s="27"/>
      <c r="N30" s="36"/>
      <c r="O30" s="53"/>
      <c r="P30" s="27"/>
      <c r="Q30" s="27"/>
      <c r="R30" s="36"/>
      <c r="S30" s="53">
        <f>SUM(T30:V30)</f>
        <v>3236462.2800000003</v>
      </c>
      <c r="T30" s="27">
        <v>2233903.93</v>
      </c>
      <c r="U30" s="27">
        <v>744962.01</v>
      </c>
      <c r="V30" s="36">
        <v>257596.34</v>
      </c>
      <c r="W30" s="64">
        <f>SUM(W28:W29)</f>
        <v>11422617.45</v>
      </c>
      <c r="X30" s="30">
        <f>SUM(X28:X29)</f>
        <v>7948739.89</v>
      </c>
      <c r="Y30" s="30">
        <f>SUM(Y28:Y29)</f>
        <v>2650626.21</v>
      </c>
      <c r="Z30" s="65">
        <f>SUM(Z28:Z29)</f>
        <v>823251.35</v>
      </c>
      <c r="AA30" s="53"/>
      <c r="AB30" s="27"/>
      <c r="AC30" s="27"/>
      <c r="AD30" s="36"/>
    </row>
    <row r="31" spans="1:30" ht="12.75" hidden="1">
      <c r="A31" s="92"/>
      <c r="B31" s="26"/>
      <c r="C31" s="26"/>
      <c r="D31" s="26"/>
      <c r="E31" s="26"/>
      <c r="F31" s="76"/>
      <c r="G31" s="53"/>
      <c r="H31" s="27"/>
      <c r="I31" s="27"/>
      <c r="J31" s="36"/>
      <c r="K31" s="53"/>
      <c r="L31" s="27"/>
      <c r="M31" s="27"/>
      <c r="N31" s="36"/>
      <c r="O31" s="53"/>
      <c r="P31" s="27"/>
      <c r="Q31" s="27"/>
      <c r="R31" s="36"/>
      <c r="S31" s="53">
        <f>SUM(S28:S30)</f>
        <v>5143128.45</v>
      </c>
      <c r="T31" s="27">
        <f>SUM(T28:T30)</f>
        <v>3663903.2800000003</v>
      </c>
      <c r="U31" s="27">
        <f>SUM(U28:U30)</f>
        <v>1221628.83</v>
      </c>
      <c r="V31" s="36">
        <f>SUM(V28:V30)</f>
        <v>257596.34</v>
      </c>
      <c r="W31" s="53"/>
      <c r="X31" s="27"/>
      <c r="Y31" s="27"/>
      <c r="Z31" s="36"/>
      <c r="AA31" s="53"/>
      <c r="AB31" s="27"/>
      <c r="AC31" s="27"/>
      <c r="AD31" s="36"/>
    </row>
    <row r="32" spans="1:30" ht="42" customHeight="1">
      <c r="A32" s="92"/>
      <c r="B32" s="97" t="s">
        <v>20</v>
      </c>
      <c r="C32" s="98"/>
      <c r="D32" s="99"/>
      <c r="E32" s="99"/>
      <c r="F32" s="100"/>
      <c r="G32" s="47">
        <f>G33</f>
        <v>7897.889190000001</v>
      </c>
      <c r="H32" s="5">
        <f aca="true" t="shared" si="4" ref="H32:AD32">H33</f>
        <v>5923.4168899999995</v>
      </c>
      <c r="I32" s="5">
        <f t="shared" si="4"/>
        <v>1974.4723000000001</v>
      </c>
      <c r="J32" s="16">
        <f t="shared" si="4"/>
        <v>0</v>
      </c>
      <c r="K32" s="47">
        <f t="shared" si="4"/>
        <v>0</v>
      </c>
      <c r="L32" s="5">
        <f t="shared" si="4"/>
        <v>0</v>
      </c>
      <c r="M32" s="5">
        <f t="shared" si="4"/>
        <v>0</v>
      </c>
      <c r="N32" s="16">
        <f t="shared" si="4"/>
        <v>0</v>
      </c>
      <c r="O32" s="47">
        <f t="shared" si="4"/>
        <v>276.12787</v>
      </c>
      <c r="P32" s="5">
        <f t="shared" si="4"/>
        <v>207.0959</v>
      </c>
      <c r="Q32" s="5">
        <f t="shared" si="4"/>
        <v>69.03197</v>
      </c>
      <c r="R32" s="16">
        <f t="shared" si="4"/>
        <v>0</v>
      </c>
      <c r="S32" s="47">
        <f t="shared" si="4"/>
        <v>4619.29631</v>
      </c>
      <c r="T32" s="5">
        <f t="shared" si="4"/>
        <v>3464.47223</v>
      </c>
      <c r="U32" s="5">
        <f t="shared" si="4"/>
        <v>1154.82408</v>
      </c>
      <c r="V32" s="16">
        <f t="shared" si="4"/>
        <v>0</v>
      </c>
      <c r="W32" s="47">
        <f t="shared" si="4"/>
        <v>1865.21073</v>
      </c>
      <c r="X32" s="5">
        <f t="shared" si="4"/>
        <v>1398.90805</v>
      </c>
      <c r="Y32" s="5">
        <f t="shared" si="4"/>
        <v>466.30268</v>
      </c>
      <c r="Z32" s="16">
        <f t="shared" si="4"/>
        <v>0</v>
      </c>
      <c r="AA32" s="47">
        <f t="shared" si="4"/>
        <v>1137.25428</v>
      </c>
      <c r="AB32" s="5">
        <f t="shared" si="4"/>
        <v>852.94071</v>
      </c>
      <c r="AC32" s="5">
        <f t="shared" si="4"/>
        <v>284.31357</v>
      </c>
      <c r="AD32" s="16">
        <f t="shared" si="4"/>
        <v>0</v>
      </c>
    </row>
    <row r="33" spans="1:30" ht="61.5" customHeight="1">
      <c r="A33" s="92">
        <v>4</v>
      </c>
      <c r="B33" s="3" t="s">
        <v>32</v>
      </c>
      <c r="C33" s="2"/>
      <c r="D33" s="2" t="s">
        <v>33</v>
      </c>
      <c r="E33" s="2"/>
      <c r="F33" s="74" t="s">
        <v>25</v>
      </c>
      <c r="G33" s="48">
        <f>7897889.19/1000</f>
        <v>7897.889190000001</v>
      </c>
      <c r="H33" s="11">
        <f>5923416.89/1000</f>
        <v>5923.4168899999995</v>
      </c>
      <c r="I33" s="11">
        <f>1974472.3/1000</f>
        <v>1974.4723000000001</v>
      </c>
      <c r="J33" s="17">
        <v>0</v>
      </c>
      <c r="K33" s="48">
        <v>0</v>
      </c>
      <c r="L33" s="11">
        <v>0</v>
      </c>
      <c r="M33" s="11">
        <v>0</v>
      </c>
      <c r="N33" s="17">
        <v>0</v>
      </c>
      <c r="O33" s="48">
        <f>276127.87/1000</f>
        <v>276.12787</v>
      </c>
      <c r="P33" s="11">
        <f>207095.9/1000</f>
        <v>207.0959</v>
      </c>
      <c r="Q33" s="11">
        <f>69031.97/1000</f>
        <v>69.03197</v>
      </c>
      <c r="R33" s="17">
        <v>0</v>
      </c>
      <c r="S33" s="48">
        <f>4619296.31/1000</f>
        <v>4619.29631</v>
      </c>
      <c r="T33" s="11">
        <f>3464472.23/1000</f>
        <v>3464.47223</v>
      </c>
      <c r="U33" s="11">
        <f>1154824.08/1000</f>
        <v>1154.82408</v>
      </c>
      <c r="V33" s="62">
        <v>0</v>
      </c>
      <c r="W33" s="48">
        <f>1865210.73/1000</f>
        <v>1865.21073</v>
      </c>
      <c r="X33" s="11">
        <f>1398908.05/1000</f>
        <v>1398.90805</v>
      </c>
      <c r="Y33" s="11">
        <f>466302.68/1000</f>
        <v>466.30268</v>
      </c>
      <c r="Z33" s="17">
        <v>0</v>
      </c>
      <c r="AA33" s="48">
        <f>1137254.28/1000</f>
        <v>1137.25428</v>
      </c>
      <c r="AB33" s="11">
        <f>852940.71/1000</f>
        <v>852.94071</v>
      </c>
      <c r="AC33" s="11">
        <f>284313.57/1000</f>
        <v>284.31357</v>
      </c>
      <c r="AD33" s="17">
        <v>0</v>
      </c>
    </row>
    <row r="34" spans="1:30" ht="42" customHeight="1">
      <c r="A34" s="92"/>
      <c r="B34" s="97" t="s">
        <v>23</v>
      </c>
      <c r="C34" s="98"/>
      <c r="D34" s="99"/>
      <c r="E34" s="99"/>
      <c r="F34" s="100"/>
      <c r="G34" s="47">
        <f>G35</f>
        <v>8977.26362</v>
      </c>
      <c r="H34" s="5">
        <f aca="true" t="shared" si="5" ref="H34:AD34">H35</f>
        <v>6732.94771</v>
      </c>
      <c r="I34" s="5">
        <f t="shared" si="5"/>
        <v>2244.3159</v>
      </c>
      <c r="J34" s="16">
        <f t="shared" si="5"/>
        <v>0</v>
      </c>
      <c r="K34" s="47">
        <f t="shared" si="5"/>
        <v>0</v>
      </c>
      <c r="L34" s="5">
        <f t="shared" si="5"/>
        <v>0</v>
      </c>
      <c r="M34" s="5">
        <f t="shared" si="5"/>
        <v>0</v>
      </c>
      <c r="N34" s="16">
        <f t="shared" si="5"/>
        <v>0</v>
      </c>
      <c r="O34" s="47">
        <f t="shared" si="5"/>
        <v>227.00307</v>
      </c>
      <c r="P34" s="5">
        <f t="shared" si="5"/>
        <v>170.2523</v>
      </c>
      <c r="Q34" s="5">
        <f t="shared" si="5"/>
        <v>56.750769999999996</v>
      </c>
      <c r="R34" s="16">
        <f t="shared" si="5"/>
        <v>0</v>
      </c>
      <c r="S34" s="47">
        <f t="shared" si="5"/>
        <v>4010.03334</v>
      </c>
      <c r="T34" s="5">
        <f t="shared" si="5"/>
        <v>3007.525</v>
      </c>
      <c r="U34" s="5">
        <f t="shared" si="5"/>
        <v>1002.50833</v>
      </c>
      <c r="V34" s="16">
        <f t="shared" si="5"/>
        <v>0</v>
      </c>
      <c r="W34" s="47">
        <f t="shared" si="5"/>
        <v>2386.1277400000004</v>
      </c>
      <c r="X34" s="5">
        <f t="shared" si="5"/>
        <v>1789.5958</v>
      </c>
      <c r="Y34" s="5">
        <f t="shared" si="5"/>
        <v>596.5319300000001</v>
      </c>
      <c r="Z34" s="16">
        <f t="shared" si="5"/>
        <v>0</v>
      </c>
      <c r="AA34" s="47">
        <f t="shared" si="5"/>
        <v>2354.09947</v>
      </c>
      <c r="AB34" s="5">
        <f t="shared" si="5"/>
        <v>1765.5746000000001</v>
      </c>
      <c r="AC34" s="5">
        <f t="shared" si="5"/>
        <v>588.52487</v>
      </c>
      <c r="AD34" s="16">
        <f t="shared" si="5"/>
        <v>0</v>
      </c>
    </row>
    <row r="35" spans="1:30" ht="61.5" customHeight="1">
      <c r="A35" s="92">
        <v>5</v>
      </c>
      <c r="B35" s="3" t="s">
        <v>34</v>
      </c>
      <c r="C35" s="2"/>
      <c r="D35" s="2" t="s">
        <v>33</v>
      </c>
      <c r="E35" s="2"/>
      <c r="F35" s="74" t="s">
        <v>25</v>
      </c>
      <c r="G35" s="48">
        <f>8977263.62/1000</f>
        <v>8977.26362</v>
      </c>
      <c r="H35" s="11">
        <f>6732947.71/1000</f>
        <v>6732.94771</v>
      </c>
      <c r="I35" s="11">
        <f>2244315.9/1000</f>
        <v>2244.3159</v>
      </c>
      <c r="J35" s="17">
        <v>0</v>
      </c>
      <c r="K35" s="48">
        <v>0</v>
      </c>
      <c r="L35" s="11">
        <v>0</v>
      </c>
      <c r="M35" s="11">
        <v>0</v>
      </c>
      <c r="N35" s="17">
        <v>0</v>
      </c>
      <c r="O35" s="48">
        <f>227003.07/1000</f>
        <v>227.00307</v>
      </c>
      <c r="P35" s="11">
        <f>170252.3/1000</f>
        <v>170.2523</v>
      </c>
      <c r="Q35" s="11">
        <f>56750.77/1000</f>
        <v>56.750769999999996</v>
      </c>
      <c r="R35" s="17">
        <v>0</v>
      </c>
      <c r="S35" s="48">
        <f>4010033.34/1000</f>
        <v>4010.03334</v>
      </c>
      <c r="T35" s="11">
        <f>3007525/1000</f>
        <v>3007.525</v>
      </c>
      <c r="U35" s="11">
        <f>1002508.33/1000</f>
        <v>1002.50833</v>
      </c>
      <c r="V35" s="17">
        <v>0</v>
      </c>
      <c r="W35" s="48">
        <f>2386127.74/1000</f>
        <v>2386.1277400000004</v>
      </c>
      <c r="X35" s="11">
        <f>1789595.8/1000</f>
        <v>1789.5958</v>
      </c>
      <c r="Y35" s="11">
        <f>596531.93/1000</f>
        <v>596.5319300000001</v>
      </c>
      <c r="Z35" s="17">
        <v>0</v>
      </c>
      <c r="AA35" s="48">
        <f>2354099.47/1000</f>
        <v>2354.09947</v>
      </c>
      <c r="AB35" s="11">
        <f>1765574.6/1000</f>
        <v>1765.5746000000001</v>
      </c>
      <c r="AC35" s="11">
        <f>588524.87/1000</f>
        <v>588.52487</v>
      </c>
      <c r="AD35" s="17">
        <v>0</v>
      </c>
    </row>
    <row r="36" spans="1:30" ht="42" customHeight="1">
      <c r="A36" s="92"/>
      <c r="B36" s="97" t="s">
        <v>28</v>
      </c>
      <c r="C36" s="98"/>
      <c r="D36" s="99"/>
      <c r="E36" s="99"/>
      <c r="F36" s="100"/>
      <c r="G36" s="47">
        <f>G37</f>
        <v>5436</v>
      </c>
      <c r="H36" s="5">
        <f aca="true" t="shared" si="6" ref="H36:AD36">H37</f>
        <v>4077</v>
      </c>
      <c r="I36" s="5">
        <f t="shared" si="6"/>
        <v>1359</v>
      </c>
      <c r="J36" s="16">
        <f t="shared" si="6"/>
        <v>0</v>
      </c>
      <c r="K36" s="47">
        <f t="shared" si="6"/>
        <v>0</v>
      </c>
      <c r="L36" s="5">
        <f t="shared" si="6"/>
        <v>0</v>
      </c>
      <c r="M36" s="5">
        <f t="shared" si="6"/>
        <v>0</v>
      </c>
      <c r="N36" s="16">
        <f t="shared" si="6"/>
        <v>0</v>
      </c>
      <c r="O36" s="47">
        <f>O37</f>
        <v>173</v>
      </c>
      <c r="P36" s="5">
        <f t="shared" si="6"/>
        <v>130</v>
      </c>
      <c r="Q36" s="5">
        <f t="shared" si="6"/>
        <v>43</v>
      </c>
      <c r="R36" s="16">
        <f t="shared" si="6"/>
        <v>0</v>
      </c>
      <c r="S36" s="47">
        <f t="shared" si="6"/>
        <v>2285</v>
      </c>
      <c r="T36" s="5">
        <f t="shared" si="6"/>
        <v>1714</v>
      </c>
      <c r="U36" s="5">
        <f t="shared" si="6"/>
        <v>571</v>
      </c>
      <c r="V36" s="16">
        <f t="shared" si="6"/>
        <v>0</v>
      </c>
      <c r="W36" s="47">
        <f t="shared" si="6"/>
        <v>2568</v>
      </c>
      <c r="X36" s="5">
        <f t="shared" si="6"/>
        <v>1926</v>
      </c>
      <c r="Y36" s="5">
        <f t="shared" si="6"/>
        <v>642</v>
      </c>
      <c r="Z36" s="16">
        <f t="shared" si="6"/>
        <v>0</v>
      </c>
      <c r="AA36" s="47">
        <f t="shared" si="6"/>
        <v>410</v>
      </c>
      <c r="AB36" s="5">
        <f t="shared" si="6"/>
        <v>308</v>
      </c>
      <c r="AC36" s="5">
        <f t="shared" si="6"/>
        <v>102</v>
      </c>
      <c r="AD36" s="16">
        <f t="shared" si="6"/>
        <v>0</v>
      </c>
    </row>
    <row r="37" spans="1:30" ht="90.75" customHeight="1">
      <c r="A37" s="92">
        <v>6</v>
      </c>
      <c r="B37" s="3" t="s">
        <v>29</v>
      </c>
      <c r="C37" s="2"/>
      <c r="D37" s="2" t="s">
        <v>5</v>
      </c>
      <c r="E37" s="2" t="s">
        <v>35</v>
      </c>
      <c r="F37" s="74" t="s">
        <v>30</v>
      </c>
      <c r="G37" s="52">
        <f>H37+I37</f>
        <v>5436</v>
      </c>
      <c r="H37" s="6">
        <v>4077</v>
      </c>
      <c r="I37" s="6">
        <v>1359</v>
      </c>
      <c r="J37" s="18">
        <v>0</v>
      </c>
      <c r="K37" s="52">
        <v>0</v>
      </c>
      <c r="L37" s="6">
        <v>0</v>
      </c>
      <c r="M37" s="6">
        <v>0</v>
      </c>
      <c r="N37" s="18">
        <v>0</v>
      </c>
      <c r="O37" s="52">
        <f>P37+Q37+R37</f>
        <v>173</v>
      </c>
      <c r="P37" s="6">
        <v>130</v>
      </c>
      <c r="Q37" s="6">
        <v>43</v>
      </c>
      <c r="R37" s="18">
        <v>0</v>
      </c>
      <c r="S37" s="63">
        <f>T37+U37</f>
        <v>2285</v>
      </c>
      <c r="T37" s="12">
        <v>1714</v>
      </c>
      <c r="U37" s="12">
        <v>571</v>
      </c>
      <c r="V37" s="19">
        <v>0</v>
      </c>
      <c r="W37" s="63">
        <f>X37+Y37+Z37</f>
        <v>2568</v>
      </c>
      <c r="X37" s="12">
        <v>1926</v>
      </c>
      <c r="Y37" s="12">
        <v>642</v>
      </c>
      <c r="Z37" s="19">
        <v>0</v>
      </c>
      <c r="AA37" s="63">
        <f>AB37+AC37</f>
        <v>410</v>
      </c>
      <c r="AB37" s="12">
        <v>308</v>
      </c>
      <c r="AC37" s="12">
        <v>102</v>
      </c>
      <c r="AD37" s="19">
        <v>0</v>
      </c>
    </row>
    <row r="38" spans="1:30" ht="42" customHeight="1">
      <c r="A38" s="91"/>
      <c r="B38" s="97" t="s">
        <v>36</v>
      </c>
      <c r="C38" s="98"/>
      <c r="D38" s="99"/>
      <c r="E38" s="99"/>
      <c r="F38" s="100"/>
      <c r="G38" s="47">
        <f>G39</f>
        <v>12047</v>
      </c>
      <c r="H38" s="5">
        <f aca="true" t="shared" si="7" ref="H38:AD38">H39</f>
        <v>9035</v>
      </c>
      <c r="I38" s="5">
        <f t="shared" si="7"/>
        <v>3012</v>
      </c>
      <c r="J38" s="16">
        <f t="shared" si="7"/>
        <v>0</v>
      </c>
      <c r="K38" s="47">
        <f t="shared" si="7"/>
        <v>0</v>
      </c>
      <c r="L38" s="5">
        <f t="shared" si="7"/>
        <v>0</v>
      </c>
      <c r="M38" s="5">
        <f t="shared" si="7"/>
        <v>0</v>
      </c>
      <c r="N38" s="16">
        <f t="shared" si="7"/>
        <v>0</v>
      </c>
      <c r="O38" s="47">
        <f t="shared" si="7"/>
        <v>1392</v>
      </c>
      <c r="P38" s="5">
        <f t="shared" si="7"/>
        <v>1044</v>
      </c>
      <c r="Q38" s="5">
        <f t="shared" si="7"/>
        <v>348</v>
      </c>
      <c r="R38" s="16">
        <f t="shared" si="7"/>
        <v>0</v>
      </c>
      <c r="S38" s="47">
        <f t="shared" si="7"/>
        <v>5776</v>
      </c>
      <c r="T38" s="5">
        <f t="shared" si="7"/>
        <v>4332</v>
      </c>
      <c r="U38" s="5">
        <f t="shared" si="7"/>
        <v>1444</v>
      </c>
      <c r="V38" s="16">
        <f t="shared" si="7"/>
        <v>0</v>
      </c>
      <c r="W38" s="47">
        <f t="shared" si="7"/>
        <v>3460</v>
      </c>
      <c r="X38" s="5">
        <f t="shared" si="7"/>
        <v>2595</v>
      </c>
      <c r="Y38" s="5">
        <f t="shared" si="7"/>
        <v>865</v>
      </c>
      <c r="Z38" s="16">
        <f t="shared" si="7"/>
        <v>0</v>
      </c>
      <c r="AA38" s="47">
        <f t="shared" si="7"/>
        <v>1419</v>
      </c>
      <c r="AB38" s="5">
        <f t="shared" si="7"/>
        <v>1064</v>
      </c>
      <c r="AC38" s="5">
        <f t="shared" si="7"/>
        <v>355</v>
      </c>
      <c r="AD38" s="16">
        <f t="shared" si="7"/>
        <v>0</v>
      </c>
    </row>
    <row r="39" spans="1:30" ht="73.5" customHeight="1">
      <c r="A39" s="91">
        <v>7</v>
      </c>
      <c r="B39" s="3" t="s">
        <v>27</v>
      </c>
      <c r="C39" s="2"/>
      <c r="D39" s="2" t="s">
        <v>5</v>
      </c>
      <c r="E39" s="2"/>
      <c r="F39" s="74" t="s">
        <v>30</v>
      </c>
      <c r="G39" s="52">
        <f>K39+O39+S39+W39+AA39</f>
        <v>12047</v>
      </c>
      <c r="H39" s="6">
        <f>L39+P39+T39+X39+AB39</f>
        <v>9035</v>
      </c>
      <c r="I39" s="6">
        <f>M39+Q39+U39+Y39+AC39</f>
        <v>3012</v>
      </c>
      <c r="J39" s="18">
        <f>N39+R39+V39+Z39+AD39</f>
        <v>0</v>
      </c>
      <c r="K39" s="52">
        <v>0</v>
      </c>
      <c r="L39" s="6">
        <v>0</v>
      </c>
      <c r="M39" s="6">
        <v>0</v>
      </c>
      <c r="N39" s="18">
        <v>0</v>
      </c>
      <c r="O39" s="52">
        <f>P39+Q39</f>
        <v>1392</v>
      </c>
      <c r="P39" s="6">
        <v>1044</v>
      </c>
      <c r="Q39" s="6">
        <v>348</v>
      </c>
      <c r="R39" s="18">
        <v>0</v>
      </c>
      <c r="S39" s="52">
        <v>5776</v>
      </c>
      <c r="T39" s="6">
        <v>4332</v>
      </c>
      <c r="U39" s="6">
        <v>1444</v>
      </c>
      <c r="V39" s="18">
        <v>0</v>
      </c>
      <c r="W39" s="52">
        <f>X39+Y39</f>
        <v>3460</v>
      </c>
      <c r="X39" s="6">
        <v>2595</v>
      </c>
      <c r="Y39" s="6">
        <v>865</v>
      </c>
      <c r="Z39" s="18">
        <v>0</v>
      </c>
      <c r="AA39" s="52">
        <f>AB39+AC39</f>
        <v>1419</v>
      </c>
      <c r="AB39" s="6">
        <v>1064</v>
      </c>
      <c r="AC39" s="6">
        <v>355</v>
      </c>
      <c r="AD39" s="18">
        <v>0</v>
      </c>
    </row>
    <row r="40" spans="1:30" ht="19.5" customHeight="1">
      <c r="A40" s="92"/>
      <c r="B40" s="114" t="s">
        <v>37</v>
      </c>
      <c r="C40" s="114"/>
      <c r="D40" s="99"/>
      <c r="E40" s="99"/>
      <c r="F40" s="100"/>
      <c r="G40" s="54">
        <f>G41</f>
        <v>6</v>
      </c>
      <c r="H40" s="10">
        <f aca="true" t="shared" si="8" ref="H40:AD40">H41</f>
        <v>4</v>
      </c>
      <c r="I40" s="10">
        <f t="shared" si="8"/>
        <v>2</v>
      </c>
      <c r="J40" s="15">
        <f t="shared" si="8"/>
        <v>0</v>
      </c>
      <c r="K40" s="54">
        <f t="shared" si="8"/>
        <v>0</v>
      </c>
      <c r="L40" s="10">
        <f t="shared" si="8"/>
        <v>0</v>
      </c>
      <c r="M40" s="10">
        <f t="shared" si="8"/>
        <v>0</v>
      </c>
      <c r="N40" s="15">
        <f t="shared" si="8"/>
        <v>0</v>
      </c>
      <c r="O40" s="54">
        <f t="shared" si="8"/>
        <v>0</v>
      </c>
      <c r="P40" s="10">
        <f t="shared" si="8"/>
        <v>0</v>
      </c>
      <c r="Q40" s="10">
        <f t="shared" si="8"/>
        <v>0</v>
      </c>
      <c r="R40" s="15">
        <f t="shared" si="8"/>
        <v>0</v>
      </c>
      <c r="S40" s="54">
        <f t="shared" si="8"/>
        <v>6</v>
      </c>
      <c r="T40" s="10">
        <f t="shared" si="8"/>
        <v>4</v>
      </c>
      <c r="U40" s="10">
        <f t="shared" si="8"/>
        <v>2</v>
      </c>
      <c r="V40" s="15">
        <f t="shared" si="8"/>
        <v>0</v>
      </c>
      <c r="W40" s="54">
        <f t="shared" si="8"/>
        <v>0</v>
      </c>
      <c r="X40" s="10">
        <f t="shared" si="8"/>
        <v>0</v>
      </c>
      <c r="Y40" s="10">
        <f t="shared" si="8"/>
        <v>0</v>
      </c>
      <c r="Z40" s="15">
        <f t="shared" si="8"/>
        <v>0</v>
      </c>
      <c r="AA40" s="54">
        <f t="shared" si="8"/>
        <v>0</v>
      </c>
      <c r="AB40" s="10">
        <f t="shared" si="8"/>
        <v>0</v>
      </c>
      <c r="AC40" s="10">
        <f t="shared" si="8"/>
        <v>0</v>
      </c>
      <c r="AD40" s="15">
        <f t="shared" si="8"/>
        <v>0</v>
      </c>
    </row>
    <row r="41" spans="1:30" ht="42" customHeight="1">
      <c r="A41" s="92"/>
      <c r="B41" s="97" t="s">
        <v>38</v>
      </c>
      <c r="C41" s="98"/>
      <c r="D41" s="99"/>
      <c r="E41" s="99"/>
      <c r="F41" s="100"/>
      <c r="G41" s="47">
        <f>G42</f>
        <v>6</v>
      </c>
      <c r="H41" s="5">
        <f>H42</f>
        <v>4</v>
      </c>
      <c r="I41" s="5">
        <f aca="true" t="shared" si="9" ref="I41:AD41">I42</f>
        <v>2</v>
      </c>
      <c r="J41" s="16">
        <f t="shared" si="9"/>
        <v>0</v>
      </c>
      <c r="K41" s="47">
        <f t="shared" si="9"/>
        <v>0</v>
      </c>
      <c r="L41" s="5">
        <f t="shared" si="9"/>
        <v>0</v>
      </c>
      <c r="M41" s="5">
        <f t="shared" si="9"/>
        <v>0</v>
      </c>
      <c r="N41" s="16">
        <f t="shared" si="9"/>
        <v>0</v>
      </c>
      <c r="O41" s="47">
        <f t="shared" si="9"/>
        <v>0</v>
      </c>
      <c r="P41" s="5">
        <f t="shared" si="9"/>
        <v>0</v>
      </c>
      <c r="Q41" s="5">
        <f t="shared" si="9"/>
        <v>0</v>
      </c>
      <c r="R41" s="16">
        <f t="shared" si="9"/>
        <v>0</v>
      </c>
      <c r="S41" s="47">
        <f t="shared" si="9"/>
        <v>6</v>
      </c>
      <c r="T41" s="5">
        <f>T42</f>
        <v>4</v>
      </c>
      <c r="U41" s="5">
        <f t="shared" si="9"/>
        <v>2</v>
      </c>
      <c r="V41" s="16">
        <f t="shared" si="9"/>
        <v>0</v>
      </c>
      <c r="W41" s="47">
        <f t="shared" si="9"/>
        <v>0</v>
      </c>
      <c r="X41" s="5">
        <f t="shared" si="9"/>
        <v>0</v>
      </c>
      <c r="Y41" s="5">
        <f t="shared" si="9"/>
        <v>0</v>
      </c>
      <c r="Z41" s="16">
        <f t="shared" si="9"/>
        <v>0</v>
      </c>
      <c r="AA41" s="47">
        <f t="shared" si="9"/>
        <v>0</v>
      </c>
      <c r="AB41" s="5">
        <f t="shared" si="9"/>
        <v>0</v>
      </c>
      <c r="AC41" s="5">
        <f t="shared" si="9"/>
        <v>0</v>
      </c>
      <c r="AD41" s="16">
        <f t="shared" si="9"/>
        <v>0</v>
      </c>
    </row>
    <row r="42" spans="1:30" ht="81.75" customHeight="1" thickBot="1">
      <c r="A42" s="92">
        <v>8</v>
      </c>
      <c r="B42" s="3" t="s">
        <v>39</v>
      </c>
      <c r="C42" s="2" t="s">
        <v>26</v>
      </c>
      <c r="D42" s="2" t="s">
        <v>5</v>
      </c>
      <c r="E42" s="2" t="s">
        <v>40</v>
      </c>
      <c r="F42" s="77" t="s">
        <v>30</v>
      </c>
      <c r="G42" s="52">
        <v>6</v>
      </c>
      <c r="H42" s="6">
        <v>4</v>
      </c>
      <c r="I42" s="6">
        <v>2</v>
      </c>
      <c r="J42" s="18">
        <f>N42+R42+V42+Z42+AD42</f>
        <v>0</v>
      </c>
      <c r="K42" s="52">
        <v>0</v>
      </c>
      <c r="L42" s="6">
        <v>0</v>
      </c>
      <c r="M42" s="6">
        <v>0</v>
      </c>
      <c r="N42" s="18">
        <v>0</v>
      </c>
      <c r="O42" s="52">
        <v>0</v>
      </c>
      <c r="P42" s="6">
        <v>0</v>
      </c>
      <c r="Q42" s="6">
        <v>0</v>
      </c>
      <c r="R42" s="18">
        <v>0</v>
      </c>
      <c r="S42" s="52">
        <f>SUM(T42:U42)</f>
        <v>6</v>
      </c>
      <c r="T42" s="6">
        <v>4</v>
      </c>
      <c r="U42" s="6">
        <v>2</v>
      </c>
      <c r="V42" s="18">
        <v>0</v>
      </c>
      <c r="W42" s="52">
        <v>0</v>
      </c>
      <c r="X42" s="6">
        <v>0</v>
      </c>
      <c r="Y42" s="6">
        <v>0</v>
      </c>
      <c r="Z42" s="18">
        <v>0</v>
      </c>
      <c r="AA42" s="52">
        <v>0</v>
      </c>
      <c r="AB42" s="6">
        <v>0</v>
      </c>
      <c r="AC42" s="6">
        <v>0</v>
      </c>
      <c r="AD42" s="18">
        <v>0</v>
      </c>
    </row>
    <row r="43" spans="1:31" ht="42" customHeight="1">
      <c r="A43" s="93"/>
      <c r="B43" s="115" t="s">
        <v>46</v>
      </c>
      <c r="C43" s="116"/>
      <c r="D43" s="117"/>
      <c r="E43" s="117"/>
      <c r="F43" s="118"/>
      <c r="G43" s="55">
        <f>G44+G48+G52</f>
        <v>4936.48</v>
      </c>
      <c r="H43" s="42">
        <f aca="true" t="shared" si="10" ref="H43:AD43">H44+H48+H52</f>
        <v>3793.383</v>
      </c>
      <c r="I43" s="42">
        <f t="shared" si="10"/>
        <v>64.704</v>
      </c>
      <c r="J43" s="56">
        <f t="shared" si="10"/>
        <v>1078.393</v>
      </c>
      <c r="K43" s="55">
        <f t="shared" si="10"/>
        <v>482.989</v>
      </c>
      <c r="L43" s="42">
        <f t="shared" si="10"/>
        <v>362.49199999999996</v>
      </c>
      <c r="M43" s="42">
        <f t="shared" si="10"/>
        <v>0</v>
      </c>
      <c r="N43" s="56">
        <f t="shared" si="10"/>
        <v>120.497</v>
      </c>
      <c r="O43" s="55">
        <f t="shared" si="10"/>
        <v>1350.0829999999999</v>
      </c>
      <c r="P43" s="42">
        <f t="shared" si="10"/>
        <v>1013.2189999999999</v>
      </c>
      <c r="Q43" s="42">
        <f t="shared" si="10"/>
        <v>11.9</v>
      </c>
      <c r="R43" s="56">
        <f t="shared" si="10"/>
        <v>324.964</v>
      </c>
      <c r="S43" s="55">
        <f t="shared" si="10"/>
        <v>2545.768</v>
      </c>
      <c r="T43" s="42">
        <f t="shared" si="10"/>
        <v>1999.5720000000001</v>
      </c>
      <c r="U43" s="42">
        <f t="shared" si="10"/>
        <v>52.804</v>
      </c>
      <c r="V43" s="56">
        <f t="shared" si="10"/>
        <v>493.39199999999994</v>
      </c>
      <c r="W43" s="55">
        <f t="shared" si="10"/>
        <v>557.64</v>
      </c>
      <c r="X43" s="42">
        <f t="shared" si="10"/>
        <v>418.1</v>
      </c>
      <c r="Y43" s="42">
        <f t="shared" si="10"/>
        <v>0</v>
      </c>
      <c r="Z43" s="56">
        <f t="shared" si="10"/>
        <v>139.54</v>
      </c>
      <c r="AA43" s="55">
        <f t="shared" si="10"/>
        <v>0</v>
      </c>
      <c r="AB43" s="42">
        <f t="shared" si="10"/>
        <v>0</v>
      </c>
      <c r="AC43" s="42">
        <f t="shared" si="10"/>
        <v>0</v>
      </c>
      <c r="AD43" s="56">
        <f t="shared" si="10"/>
        <v>0</v>
      </c>
      <c r="AE43" s="67"/>
    </row>
    <row r="44" spans="1:31" ht="42" customHeight="1">
      <c r="A44" s="93"/>
      <c r="B44" s="119" t="s">
        <v>47</v>
      </c>
      <c r="C44" s="120"/>
      <c r="D44" s="121"/>
      <c r="E44" s="121"/>
      <c r="F44" s="122"/>
      <c r="G44" s="55">
        <f>SUM(G45:G47)</f>
        <v>3118.834</v>
      </c>
      <c r="H44" s="42">
        <f aca="true" t="shared" si="11" ref="H44:AD44">SUM(H45:H47)</f>
        <v>2339.9739999999997</v>
      </c>
      <c r="I44" s="42">
        <f t="shared" si="11"/>
        <v>2.1</v>
      </c>
      <c r="J44" s="56">
        <f t="shared" si="11"/>
        <v>776.76</v>
      </c>
      <c r="K44" s="55">
        <f t="shared" si="11"/>
        <v>442.85299999999995</v>
      </c>
      <c r="L44" s="42">
        <f t="shared" si="11"/>
        <v>332.14</v>
      </c>
      <c r="M44" s="42">
        <f t="shared" si="11"/>
        <v>0</v>
      </c>
      <c r="N44" s="56">
        <f t="shared" si="11"/>
        <v>110.713</v>
      </c>
      <c r="O44" s="55">
        <f t="shared" si="11"/>
        <v>1062.0459999999998</v>
      </c>
      <c r="P44" s="42">
        <f t="shared" si="11"/>
        <v>797.5509999999999</v>
      </c>
      <c r="Q44" s="42">
        <f t="shared" si="11"/>
        <v>2.1</v>
      </c>
      <c r="R44" s="56">
        <f t="shared" si="11"/>
        <v>262.395</v>
      </c>
      <c r="S44" s="55">
        <f t="shared" si="11"/>
        <v>1484.835</v>
      </c>
      <c r="T44" s="42">
        <f t="shared" si="11"/>
        <v>1113.483</v>
      </c>
      <c r="U44" s="42">
        <f t="shared" si="11"/>
        <v>0</v>
      </c>
      <c r="V44" s="56">
        <f t="shared" si="11"/>
        <v>371.352</v>
      </c>
      <c r="W44" s="55">
        <f t="shared" si="11"/>
        <v>129.1</v>
      </c>
      <c r="X44" s="42">
        <f t="shared" si="11"/>
        <v>96.8</v>
      </c>
      <c r="Y44" s="42">
        <f t="shared" si="11"/>
        <v>0</v>
      </c>
      <c r="Z44" s="56">
        <f t="shared" si="11"/>
        <v>32.3</v>
      </c>
      <c r="AA44" s="55">
        <f t="shared" si="11"/>
        <v>0</v>
      </c>
      <c r="AB44" s="42">
        <f t="shared" si="11"/>
        <v>0</v>
      </c>
      <c r="AC44" s="42">
        <f t="shared" si="11"/>
        <v>0</v>
      </c>
      <c r="AD44" s="56">
        <f t="shared" si="11"/>
        <v>0</v>
      </c>
      <c r="AE44" s="67"/>
    </row>
    <row r="45" spans="1:31" ht="81.75" customHeight="1">
      <c r="A45" s="93">
        <v>9</v>
      </c>
      <c r="B45" s="40" t="s">
        <v>55</v>
      </c>
      <c r="C45" s="41" t="s">
        <v>51</v>
      </c>
      <c r="D45" s="130" t="s">
        <v>60</v>
      </c>
      <c r="E45" s="138"/>
      <c r="F45" s="77" t="s">
        <v>30</v>
      </c>
      <c r="G45" s="57">
        <f aca="true" t="shared" si="12" ref="G45:J47">K45+O45+S45+W45+AA45</f>
        <v>1343</v>
      </c>
      <c r="H45" s="37">
        <f t="shared" si="12"/>
        <v>1007.1999999999999</v>
      </c>
      <c r="I45" s="37">
        <f t="shared" si="12"/>
        <v>2.1</v>
      </c>
      <c r="J45" s="58">
        <f t="shared" si="12"/>
        <v>333.7</v>
      </c>
      <c r="K45" s="57">
        <f>L45+M45+N45</f>
        <v>165.6</v>
      </c>
      <c r="L45" s="37">
        <v>124.2</v>
      </c>
      <c r="M45" s="37">
        <v>0</v>
      </c>
      <c r="N45" s="58">
        <v>41.4</v>
      </c>
      <c r="O45" s="57">
        <f>P45+Q45+R45</f>
        <v>494.9</v>
      </c>
      <c r="P45" s="37">
        <v>371.2</v>
      </c>
      <c r="Q45" s="37">
        <v>2.1</v>
      </c>
      <c r="R45" s="58">
        <v>121.6</v>
      </c>
      <c r="S45" s="57">
        <f>T45+U45+V45</f>
        <v>553.4</v>
      </c>
      <c r="T45" s="37">
        <v>415</v>
      </c>
      <c r="U45" s="37">
        <v>0</v>
      </c>
      <c r="V45" s="58">
        <v>138.4</v>
      </c>
      <c r="W45" s="57">
        <f>X45+Y45+Z45</f>
        <v>129.1</v>
      </c>
      <c r="X45" s="38">
        <v>96.8</v>
      </c>
      <c r="Y45" s="38">
        <v>0</v>
      </c>
      <c r="Z45" s="66">
        <v>32.3</v>
      </c>
      <c r="AA45" s="68">
        <f>AB45+AC45+AD45</f>
        <v>0</v>
      </c>
      <c r="AB45" s="38">
        <v>0</v>
      </c>
      <c r="AC45" s="38">
        <v>0</v>
      </c>
      <c r="AD45" s="66">
        <v>0</v>
      </c>
      <c r="AE45" s="67"/>
    </row>
    <row r="46" spans="1:31" ht="81.75" customHeight="1">
      <c r="A46" s="93">
        <v>10</v>
      </c>
      <c r="B46" s="40" t="s">
        <v>56</v>
      </c>
      <c r="C46" s="41" t="s">
        <v>53</v>
      </c>
      <c r="D46" s="139"/>
      <c r="E46" s="140"/>
      <c r="F46" s="77" t="s">
        <v>30</v>
      </c>
      <c r="G46" s="57">
        <f t="shared" si="12"/>
        <v>1775.8339999999998</v>
      </c>
      <c r="H46" s="37">
        <f t="shared" si="12"/>
        <v>1332.774</v>
      </c>
      <c r="I46" s="37">
        <f t="shared" si="12"/>
        <v>0</v>
      </c>
      <c r="J46" s="58">
        <f t="shared" si="12"/>
        <v>443.06</v>
      </c>
      <c r="K46" s="57">
        <f>L46+M46+N46</f>
        <v>277.253</v>
      </c>
      <c r="L46" s="37">
        <v>207.94</v>
      </c>
      <c r="M46" s="37">
        <v>0</v>
      </c>
      <c r="N46" s="58">
        <v>69.313</v>
      </c>
      <c r="O46" s="57">
        <f>P46+Q46+R46</f>
        <v>567.146</v>
      </c>
      <c r="P46" s="37">
        <v>426.351</v>
      </c>
      <c r="Q46" s="37">
        <v>0</v>
      </c>
      <c r="R46" s="58">
        <v>140.795</v>
      </c>
      <c r="S46" s="57">
        <f>T46+U46+V46</f>
        <v>931.435</v>
      </c>
      <c r="T46" s="37">
        <v>698.483</v>
      </c>
      <c r="U46" s="37">
        <v>0</v>
      </c>
      <c r="V46" s="58">
        <v>232.952</v>
      </c>
      <c r="W46" s="57">
        <f>X46+Y46+Z46</f>
        <v>0</v>
      </c>
      <c r="X46" s="38"/>
      <c r="Y46" s="38"/>
      <c r="Z46" s="66"/>
      <c r="AA46" s="68">
        <f>AB46+AC46+AD46</f>
        <v>0</v>
      </c>
      <c r="AB46" s="39"/>
      <c r="AC46" s="39"/>
      <c r="AD46" s="69"/>
      <c r="AE46" s="67"/>
    </row>
    <row r="47" spans="1:31" ht="81.75" customHeight="1">
      <c r="A47" s="93">
        <v>11</v>
      </c>
      <c r="B47" s="40" t="s">
        <v>56</v>
      </c>
      <c r="C47" s="41" t="s">
        <v>54</v>
      </c>
      <c r="D47" s="141"/>
      <c r="E47" s="142"/>
      <c r="F47" s="77" t="s">
        <v>30</v>
      </c>
      <c r="G47" s="57">
        <f t="shared" si="12"/>
        <v>0</v>
      </c>
      <c r="H47" s="37">
        <f t="shared" si="12"/>
        <v>0</v>
      </c>
      <c r="I47" s="37">
        <f t="shared" si="12"/>
        <v>0</v>
      </c>
      <c r="J47" s="58">
        <f t="shared" si="12"/>
        <v>0</v>
      </c>
      <c r="K47" s="57">
        <f>L47+M47+N47</f>
        <v>0</v>
      </c>
      <c r="L47" s="37"/>
      <c r="M47" s="37"/>
      <c r="N47" s="58"/>
      <c r="O47" s="57">
        <f>P47+Q47+R47</f>
        <v>0</v>
      </c>
      <c r="P47" s="37"/>
      <c r="Q47" s="37"/>
      <c r="R47" s="58"/>
      <c r="S47" s="57">
        <f>T47+U47+V47</f>
        <v>0</v>
      </c>
      <c r="T47" s="37"/>
      <c r="U47" s="37"/>
      <c r="V47" s="58"/>
      <c r="W47" s="57">
        <f>X47+Y47+Z47</f>
        <v>0</v>
      </c>
      <c r="X47" s="38"/>
      <c r="Y47" s="38"/>
      <c r="Z47" s="66"/>
      <c r="AA47" s="68">
        <f>AB47+AC47+AD47</f>
        <v>0</v>
      </c>
      <c r="AB47" s="39"/>
      <c r="AC47" s="39"/>
      <c r="AD47" s="69"/>
      <c r="AE47" s="67"/>
    </row>
    <row r="48" spans="1:31" ht="42" customHeight="1">
      <c r="A48" s="93"/>
      <c r="B48" s="119" t="s">
        <v>48</v>
      </c>
      <c r="C48" s="120"/>
      <c r="D48" s="121"/>
      <c r="E48" s="121"/>
      <c r="F48" s="122"/>
      <c r="G48" s="55">
        <f>SUM(G49:G51)</f>
        <v>453.7</v>
      </c>
      <c r="H48" s="42">
        <f aca="true" t="shared" si="13" ref="H48:AD48">SUM(H49:H51)</f>
        <v>340.453</v>
      </c>
      <c r="I48" s="42">
        <f t="shared" si="13"/>
        <v>27.804</v>
      </c>
      <c r="J48" s="56">
        <f t="shared" si="13"/>
        <v>85.443</v>
      </c>
      <c r="K48" s="55">
        <f t="shared" si="13"/>
        <v>31.136</v>
      </c>
      <c r="L48" s="42">
        <f t="shared" si="13"/>
        <v>23.352</v>
      </c>
      <c r="M48" s="42">
        <f t="shared" si="13"/>
        <v>0</v>
      </c>
      <c r="N48" s="56">
        <f t="shared" si="13"/>
        <v>7.784</v>
      </c>
      <c r="O48" s="55">
        <f t="shared" si="13"/>
        <v>119.287</v>
      </c>
      <c r="P48" s="42">
        <f t="shared" si="13"/>
        <v>89.168</v>
      </c>
      <c r="Q48" s="42">
        <f t="shared" si="13"/>
        <v>8</v>
      </c>
      <c r="R48" s="56">
        <f t="shared" si="13"/>
        <v>22.119</v>
      </c>
      <c r="S48" s="55">
        <f t="shared" si="13"/>
        <v>250.87699999999998</v>
      </c>
      <c r="T48" s="42">
        <f t="shared" si="13"/>
        <v>188.633</v>
      </c>
      <c r="U48" s="42">
        <f t="shared" si="13"/>
        <v>19.804</v>
      </c>
      <c r="V48" s="56">
        <f t="shared" si="13"/>
        <v>42.44</v>
      </c>
      <c r="W48" s="55">
        <f t="shared" si="13"/>
        <v>52.4</v>
      </c>
      <c r="X48" s="42">
        <f t="shared" si="13"/>
        <v>39.3</v>
      </c>
      <c r="Y48" s="42">
        <f t="shared" si="13"/>
        <v>0</v>
      </c>
      <c r="Z48" s="56">
        <f t="shared" si="13"/>
        <v>13.1</v>
      </c>
      <c r="AA48" s="55">
        <f t="shared" si="13"/>
        <v>0</v>
      </c>
      <c r="AB48" s="42">
        <f t="shared" si="13"/>
        <v>0</v>
      </c>
      <c r="AC48" s="42">
        <f t="shared" si="13"/>
        <v>0</v>
      </c>
      <c r="AD48" s="56">
        <f t="shared" si="13"/>
        <v>0</v>
      </c>
      <c r="AE48" s="67"/>
    </row>
    <row r="49" spans="1:31" ht="81.75" customHeight="1">
      <c r="A49" s="93">
        <v>12</v>
      </c>
      <c r="B49" s="40" t="s">
        <v>50</v>
      </c>
      <c r="C49" s="41" t="s">
        <v>51</v>
      </c>
      <c r="D49" s="130" t="s">
        <v>52</v>
      </c>
      <c r="E49" s="138"/>
      <c r="F49" s="77" t="s">
        <v>30</v>
      </c>
      <c r="G49" s="57">
        <f aca="true" t="shared" si="14" ref="G49:J51">K49+O49+S49+W49+AA49</f>
        <v>138</v>
      </c>
      <c r="H49" s="37">
        <f t="shared" si="14"/>
        <v>103.5</v>
      </c>
      <c r="I49" s="37">
        <f t="shared" si="14"/>
        <v>0</v>
      </c>
      <c r="J49" s="58">
        <f t="shared" si="14"/>
        <v>34.5</v>
      </c>
      <c r="K49" s="57">
        <f>L49+M49+N49</f>
        <v>0</v>
      </c>
      <c r="L49" s="37">
        <v>0</v>
      </c>
      <c r="M49" s="37">
        <v>0</v>
      </c>
      <c r="N49" s="58">
        <v>0</v>
      </c>
      <c r="O49" s="57">
        <f>P49+Q49+R49</f>
        <v>46.5</v>
      </c>
      <c r="P49" s="37">
        <v>34.9</v>
      </c>
      <c r="Q49" s="37">
        <v>0</v>
      </c>
      <c r="R49" s="58">
        <v>11.6</v>
      </c>
      <c r="S49" s="57">
        <f>T49+U49+V49</f>
        <v>39.1</v>
      </c>
      <c r="T49" s="37">
        <v>29.3</v>
      </c>
      <c r="U49" s="37">
        <v>0</v>
      </c>
      <c r="V49" s="58">
        <v>9.8</v>
      </c>
      <c r="W49" s="57">
        <f>X49+Y49+Z49</f>
        <v>52.4</v>
      </c>
      <c r="X49" s="38">
        <v>39.3</v>
      </c>
      <c r="Y49" s="38">
        <v>0</v>
      </c>
      <c r="Z49" s="66">
        <v>13.1</v>
      </c>
      <c r="AA49" s="68">
        <f>AB49+AC49+AD49</f>
        <v>0</v>
      </c>
      <c r="AB49" s="38">
        <v>0</v>
      </c>
      <c r="AC49" s="38">
        <v>0</v>
      </c>
      <c r="AD49" s="66">
        <v>0</v>
      </c>
      <c r="AE49" s="67"/>
    </row>
    <row r="50" spans="1:31" ht="81.75" customHeight="1">
      <c r="A50" s="93">
        <v>13</v>
      </c>
      <c r="B50" s="40" t="s">
        <v>50</v>
      </c>
      <c r="C50" s="41" t="s">
        <v>53</v>
      </c>
      <c r="D50" s="139"/>
      <c r="E50" s="140"/>
      <c r="F50" s="77" t="s">
        <v>30</v>
      </c>
      <c r="G50" s="57">
        <f t="shared" si="14"/>
        <v>297.7</v>
      </c>
      <c r="H50" s="37">
        <f t="shared" si="14"/>
        <v>222.953</v>
      </c>
      <c r="I50" s="37">
        <f t="shared" si="14"/>
        <v>27.804</v>
      </c>
      <c r="J50" s="58">
        <f t="shared" si="14"/>
        <v>46.943</v>
      </c>
      <c r="K50" s="57">
        <f>L50+M50+N50</f>
        <v>31.136</v>
      </c>
      <c r="L50" s="37">
        <v>23.352</v>
      </c>
      <c r="M50" s="37">
        <v>0</v>
      </c>
      <c r="N50" s="58">
        <v>7.784</v>
      </c>
      <c r="O50" s="57">
        <f>P50+Q50+R50</f>
        <v>72.787</v>
      </c>
      <c r="P50" s="37">
        <v>54.268</v>
      </c>
      <c r="Q50" s="37">
        <v>8</v>
      </c>
      <c r="R50" s="58">
        <v>10.519</v>
      </c>
      <c r="S50" s="57">
        <f>T50+U50+V50</f>
        <v>193.777</v>
      </c>
      <c r="T50" s="37">
        <v>145.333</v>
      </c>
      <c r="U50" s="37">
        <v>19.804</v>
      </c>
      <c r="V50" s="58">
        <v>28.64</v>
      </c>
      <c r="W50" s="57">
        <f>X50+Y50+Z50</f>
        <v>0</v>
      </c>
      <c r="X50" s="38">
        <v>0</v>
      </c>
      <c r="Y50" s="38">
        <v>0</v>
      </c>
      <c r="Z50" s="66">
        <v>0</v>
      </c>
      <c r="AA50" s="68">
        <f>AB50+AC50+AD50</f>
        <v>0</v>
      </c>
      <c r="AB50" s="38">
        <v>0</v>
      </c>
      <c r="AC50" s="38">
        <v>0</v>
      </c>
      <c r="AD50" s="66">
        <v>0</v>
      </c>
      <c r="AE50" s="67"/>
    </row>
    <row r="51" spans="1:33" ht="81.75" customHeight="1">
      <c r="A51" s="93">
        <v>14</v>
      </c>
      <c r="B51" s="40" t="s">
        <v>50</v>
      </c>
      <c r="C51" s="41" t="s">
        <v>54</v>
      </c>
      <c r="D51" s="141"/>
      <c r="E51" s="142"/>
      <c r="F51" s="77" t="s">
        <v>30</v>
      </c>
      <c r="G51" s="57">
        <f t="shared" si="14"/>
        <v>18</v>
      </c>
      <c r="H51" s="37">
        <f t="shared" si="14"/>
        <v>14</v>
      </c>
      <c r="I51" s="37">
        <f t="shared" si="14"/>
        <v>0</v>
      </c>
      <c r="J51" s="58">
        <f t="shared" si="14"/>
        <v>4</v>
      </c>
      <c r="K51" s="57">
        <f>L51+M51+N51</f>
        <v>0</v>
      </c>
      <c r="L51" s="37">
        <v>0</v>
      </c>
      <c r="M51" s="37">
        <v>0</v>
      </c>
      <c r="N51" s="58">
        <v>0</v>
      </c>
      <c r="O51" s="57">
        <f>P51+Q51+R51</f>
        <v>0</v>
      </c>
      <c r="P51" s="37">
        <v>0</v>
      </c>
      <c r="Q51" s="37">
        <v>0</v>
      </c>
      <c r="R51" s="58">
        <v>0</v>
      </c>
      <c r="S51" s="57">
        <f>T51+U51+V51</f>
        <v>18</v>
      </c>
      <c r="T51" s="37">
        <v>14</v>
      </c>
      <c r="U51" s="37">
        <v>0</v>
      </c>
      <c r="V51" s="58">
        <v>4</v>
      </c>
      <c r="W51" s="57">
        <f>X51+Y51+Z51</f>
        <v>0</v>
      </c>
      <c r="X51" s="38">
        <v>0</v>
      </c>
      <c r="Y51" s="38">
        <v>0</v>
      </c>
      <c r="Z51" s="66">
        <v>0</v>
      </c>
      <c r="AA51" s="68">
        <f>AB51+AC51+AD51</f>
        <v>0</v>
      </c>
      <c r="AB51" s="38">
        <v>0</v>
      </c>
      <c r="AC51" s="38">
        <v>0</v>
      </c>
      <c r="AD51" s="66">
        <v>0</v>
      </c>
      <c r="AE51" s="67"/>
      <c r="AG51" s="43">
        <v>100228</v>
      </c>
    </row>
    <row r="52" spans="1:35" ht="42" customHeight="1">
      <c r="A52" s="93"/>
      <c r="B52" s="119" t="s">
        <v>49</v>
      </c>
      <c r="C52" s="120"/>
      <c r="D52" s="121"/>
      <c r="E52" s="121"/>
      <c r="F52" s="122"/>
      <c r="G52" s="55">
        <f>SUM(G53:G55)</f>
        <v>1363.9460000000001</v>
      </c>
      <c r="H52" s="42">
        <f aca="true" t="shared" si="15" ref="H52:AD52">SUM(H53:H55)</f>
        <v>1112.9560000000001</v>
      </c>
      <c r="I52" s="42">
        <f t="shared" si="15"/>
        <v>34.8</v>
      </c>
      <c r="J52" s="56">
        <f t="shared" si="15"/>
        <v>216.19</v>
      </c>
      <c r="K52" s="55">
        <f t="shared" si="15"/>
        <v>9</v>
      </c>
      <c r="L52" s="42">
        <f t="shared" si="15"/>
        <v>7</v>
      </c>
      <c r="M52" s="42">
        <f t="shared" si="15"/>
        <v>0</v>
      </c>
      <c r="N52" s="56">
        <f t="shared" si="15"/>
        <v>2</v>
      </c>
      <c r="O52" s="55">
        <f t="shared" si="15"/>
        <v>168.75</v>
      </c>
      <c r="P52" s="42">
        <f t="shared" si="15"/>
        <v>126.5</v>
      </c>
      <c r="Q52" s="42">
        <f t="shared" si="15"/>
        <v>1.8</v>
      </c>
      <c r="R52" s="56">
        <f t="shared" si="15"/>
        <v>40.45</v>
      </c>
      <c r="S52" s="55">
        <f t="shared" si="15"/>
        <v>810.056</v>
      </c>
      <c r="T52" s="42">
        <f t="shared" si="15"/>
        <v>697.456</v>
      </c>
      <c r="U52" s="42">
        <f t="shared" si="15"/>
        <v>33</v>
      </c>
      <c r="V52" s="56">
        <f t="shared" si="15"/>
        <v>79.6</v>
      </c>
      <c r="W52" s="55">
        <f t="shared" si="15"/>
        <v>376.14</v>
      </c>
      <c r="X52" s="42">
        <f t="shared" si="15"/>
        <v>282</v>
      </c>
      <c r="Y52" s="42">
        <f t="shared" si="15"/>
        <v>0</v>
      </c>
      <c r="Z52" s="56">
        <f t="shared" si="15"/>
        <v>94.14</v>
      </c>
      <c r="AA52" s="55">
        <f t="shared" si="15"/>
        <v>0</v>
      </c>
      <c r="AB52" s="42">
        <f t="shared" si="15"/>
        <v>0</v>
      </c>
      <c r="AC52" s="42">
        <f t="shared" si="15"/>
        <v>0</v>
      </c>
      <c r="AD52" s="56">
        <f t="shared" si="15"/>
        <v>0</v>
      </c>
      <c r="AE52" s="67"/>
      <c r="AG52">
        <f>AG51*0.75</f>
        <v>75171</v>
      </c>
      <c r="AH52">
        <v>61200</v>
      </c>
      <c r="AI52">
        <f>AG52-AH52</f>
        <v>13971</v>
      </c>
    </row>
    <row r="53" spans="1:35" ht="105" customHeight="1">
      <c r="A53" s="93">
        <v>15</v>
      </c>
      <c r="B53" s="40" t="s">
        <v>57</v>
      </c>
      <c r="C53" s="41" t="s">
        <v>51</v>
      </c>
      <c r="D53" s="130" t="s">
        <v>58</v>
      </c>
      <c r="E53" s="131"/>
      <c r="F53" s="77" t="s">
        <v>30</v>
      </c>
      <c r="G53" s="57">
        <f aca="true" t="shared" si="16" ref="G53:J55">K53+O53+S53+W53+AA53</f>
        <v>232.8</v>
      </c>
      <c r="H53" s="37">
        <f t="shared" si="16"/>
        <v>174.5</v>
      </c>
      <c r="I53" s="37">
        <f t="shared" si="16"/>
        <v>1.8</v>
      </c>
      <c r="J53" s="58">
        <f t="shared" si="16"/>
        <v>56.50000000000001</v>
      </c>
      <c r="K53" s="57">
        <f>L53+M53+N53</f>
        <v>0</v>
      </c>
      <c r="L53" s="37">
        <v>0</v>
      </c>
      <c r="M53" s="37">
        <v>0</v>
      </c>
      <c r="N53" s="58">
        <v>0</v>
      </c>
      <c r="O53" s="57">
        <f>P53+Q53+R53</f>
        <v>67.3</v>
      </c>
      <c r="P53" s="37">
        <v>50.4</v>
      </c>
      <c r="Q53" s="37">
        <v>1.8</v>
      </c>
      <c r="R53" s="58">
        <v>15.1</v>
      </c>
      <c r="S53" s="57">
        <f>T53+U53+V53</f>
        <v>134.8</v>
      </c>
      <c r="T53" s="37">
        <v>101.1</v>
      </c>
      <c r="U53" s="37">
        <v>0</v>
      </c>
      <c r="V53" s="58">
        <v>33.7</v>
      </c>
      <c r="W53" s="57">
        <f>X53+Y53+Z53</f>
        <v>30.7</v>
      </c>
      <c r="X53" s="38">
        <v>23</v>
      </c>
      <c r="Y53" s="38">
        <v>0</v>
      </c>
      <c r="Z53" s="66">
        <v>7.7</v>
      </c>
      <c r="AA53" s="68">
        <f>AB53+AC53+AD53</f>
        <v>0</v>
      </c>
      <c r="AB53" s="38">
        <v>0</v>
      </c>
      <c r="AC53" s="38">
        <v>0</v>
      </c>
      <c r="AD53" s="66">
        <v>0</v>
      </c>
      <c r="AE53" s="67"/>
      <c r="AG53">
        <f>AG51*0.25</f>
        <v>25057</v>
      </c>
      <c r="AH53">
        <v>21</v>
      </c>
      <c r="AI53">
        <f>AG53-AH53*1000</f>
        <v>4057</v>
      </c>
    </row>
    <row r="54" spans="1:31" ht="105" customHeight="1">
      <c r="A54" s="93">
        <v>16</v>
      </c>
      <c r="B54" s="40" t="s">
        <v>57</v>
      </c>
      <c r="C54" s="2" t="s">
        <v>59</v>
      </c>
      <c r="D54" s="132"/>
      <c r="E54" s="133"/>
      <c r="F54" s="77" t="s">
        <v>30</v>
      </c>
      <c r="G54" s="57">
        <f t="shared" si="16"/>
        <v>219.95600000000002</v>
      </c>
      <c r="H54" s="37">
        <f t="shared" si="16"/>
        <v>164.95600000000002</v>
      </c>
      <c r="I54" s="37">
        <f t="shared" si="16"/>
        <v>33</v>
      </c>
      <c r="J54" s="58">
        <f t="shared" si="16"/>
        <v>22</v>
      </c>
      <c r="K54" s="57">
        <f>L54+M54+N54</f>
        <v>0</v>
      </c>
      <c r="L54" s="37">
        <v>0</v>
      </c>
      <c r="M54" s="37">
        <v>0</v>
      </c>
      <c r="N54" s="58">
        <v>0</v>
      </c>
      <c r="O54" s="57">
        <f>P54+Q54+R54</f>
        <v>0</v>
      </c>
      <c r="P54" s="37">
        <v>0</v>
      </c>
      <c r="Q54" s="37">
        <v>0</v>
      </c>
      <c r="R54" s="58">
        <v>0</v>
      </c>
      <c r="S54" s="57">
        <f>T54+U54+V54</f>
        <v>219.95600000000002</v>
      </c>
      <c r="T54" s="37">
        <f>220*0.7498</f>
        <v>164.95600000000002</v>
      </c>
      <c r="U54" s="37">
        <f>220*0.15</f>
        <v>33</v>
      </c>
      <c r="V54" s="58">
        <f>220*0.1</f>
        <v>22</v>
      </c>
      <c r="W54" s="57">
        <f>X54+Y54+Z54</f>
        <v>0</v>
      </c>
      <c r="X54" s="38">
        <v>0</v>
      </c>
      <c r="Y54" s="38">
        <v>0</v>
      </c>
      <c r="Z54" s="66">
        <v>0</v>
      </c>
      <c r="AA54" s="68">
        <f>AB54+AC54+AD54</f>
        <v>0</v>
      </c>
      <c r="AB54" s="38">
        <v>0</v>
      </c>
      <c r="AC54" s="38">
        <v>0</v>
      </c>
      <c r="AD54" s="66">
        <v>0</v>
      </c>
      <c r="AE54" s="67"/>
    </row>
    <row r="55" spans="1:31" ht="105" customHeight="1" thickBot="1">
      <c r="A55" s="93">
        <v>17</v>
      </c>
      <c r="B55" s="79" t="s">
        <v>57</v>
      </c>
      <c r="C55" s="80" t="s">
        <v>54</v>
      </c>
      <c r="D55" s="132"/>
      <c r="E55" s="133"/>
      <c r="F55" s="81" t="s">
        <v>30</v>
      </c>
      <c r="G55" s="82">
        <f t="shared" si="16"/>
        <v>911.19</v>
      </c>
      <c r="H55" s="83">
        <f t="shared" si="16"/>
        <v>773.5</v>
      </c>
      <c r="I55" s="83">
        <f t="shared" si="16"/>
        <v>0</v>
      </c>
      <c r="J55" s="84">
        <f t="shared" si="16"/>
        <v>137.69</v>
      </c>
      <c r="K55" s="82">
        <f>L55+M55+N55</f>
        <v>9</v>
      </c>
      <c r="L55" s="83">
        <v>7</v>
      </c>
      <c r="M55" s="83">
        <v>0</v>
      </c>
      <c r="N55" s="84">
        <v>2</v>
      </c>
      <c r="O55" s="82">
        <f>P55+Q55+R55</f>
        <v>101.44999999999999</v>
      </c>
      <c r="P55" s="83">
        <v>76.1</v>
      </c>
      <c r="Q55" s="83">
        <v>0</v>
      </c>
      <c r="R55" s="84">
        <v>25.35</v>
      </c>
      <c r="S55" s="82">
        <f>T55+U55+V55</f>
        <v>455.29999999999995</v>
      </c>
      <c r="T55" s="83">
        <v>431.4</v>
      </c>
      <c r="U55" s="83">
        <v>0</v>
      </c>
      <c r="V55" s="84">
        <v>23.9</v>
      </c>
      <c r="W55" s="82">
        <f>X55+Y55+Z55</f>
        <v>345.44</v>
      </c>
      <c r="X55" s="85">
        <v>259</v>
      </c>
      <c r="Y55" s="85">
        <v>0</v>
      </c>
      <c r="Z55" s="86">
        <v>86.44</v>
      </c>
      <c r="AA55" s="87">
        <f>AB55+AC55+AD55</f>
        <v>0</v>
      </c>
      <c r="AB55" s="85">
        <v>0</v>
      </c>
      <c r="AC55" s="85">
        <v>0</v>
      </c>
      <c r="AD55" s="86">
        <v>0</v>
      </c>
      <c r="AE55" s="67"/>
    </row>
    <row r="56" spans="1:30" ht="42.75" customHeight="1" thickBot="1">
      <c r="A56" s="78"/>
      <c r="B56" s="111" t="s">
        <v>45</v>
      </c>
      <c r="C56" s="112"/>
      <c r="D56" s="112"/>
      <c r="E56" s="112"/>
      <c r="F56" s="113"/>
      <c r="G56" s="88">
        <f aca="true" t="shared" si="17" ref="G56:AC56">G10+G40+G43</f>
        <v>125061.42177</v>
      </c>
      <c r="H56" s="89">
        <f t="shared" si="17"/>
        <v>90811.33932</v>
      </c>
      <c r="I56" s="89">
        <f t="shared" si="17"/>
        <v>31920.689440000006</v>
      </c>
      <c r="J56" s="90">
        <f t="shared" si="17"/>
        <v>2329.393</v>
      </c>
      <c r="K56" s="88">
        <f t="shared" si="17"/>
        <v>4451.989</v>
      </c>
      <c r="L56" s="89">
        <f t="shared" si="17"/>
        <v>3091.492</v>
      </c>
      <c r="M56" s="89">
        <f t="shared" si="17"/>
        <v>1239</v>
      </c>
      <c r="N56" s="90">
        <f t="shared" si="17"/>
        <v>120.497</v>
      </c>
      <c r="O56" s="88">
        <f t="shared" si="17"/>
        <v>19247.449269999997</v>
      </c>
      <c r="P56" s="89">
        <f t="shared" si="17"/>
        <v>13739.493699999999</v>
      </c>
      <c r="Q56" s="89">
        <f t="shared" si="17"/>
        <v>5182.991569999999</v>
      </c>
      <c r="R56" s="90">
        <f t="shared" si="17"/>
        <v>324.964</v>
      </c>
      <c r="S56" s="88">
        <f t="shared" si="17"/>
        <v>54726.51828999999</v>
      </c>
      <c r="T56" s="89">
        <f t="shared" si="17"/>
        <v>40151.38471</v>
      </c>
      <c r="U56" s="89">
        <f t="shared" si="17"/>
        <v>13823.74157</v>
      </c>
      <c r="V56" s="90">
        <f t="shared" si="17"/>
        <v>751.3919999999999</v>
      </c>
      <c r="W56" s="88">
        <f t="shared" si="17"/>
        <v>35233.155679999996</v>
      </c>
      <c r="X56" s="89">
        <f t="shared" si="17"/>
        <v>25405.236759999996</v>
      </c>
      <c r="Y56" s="89">
        <f t="shared" si="17"/>
        <v>8865.37891</v>
      </c>
      <c r="Z56" s="90">
        <f t="shared" si="17"/>
        <v>962.54</v>
      </c>
      <c r="AA56" s="88">
        <f t="shared" si="17"/>
        <v>11401.30953</v>
      </c>
      <c r="AB56" s="89">
        <f t="shared" si="17"/>
        <v>8423.73215</v>
      </c>
      <c r="AC56" s="89">
        <f t="shared" si="17"/>
        <v>2807.57739</v>
      </c>
      <c r="AD56" s="90">
        <f>AD10+AD40+AD43</f>
        <v>170</v>
      </c>
    </row>
    <row r="57" ht="12.75">
      <c r="G57" s="7"/>
    </row>
    <row r="58" ht="12.75">
      <c r="G58" s="7"/>
    </row>
    <row r="59" ht="12.75">
      <c r="G59" s="7"/>
    </row>
    <row r="60" ht="12.75">
      <c r="G60" s="7"/>
    </row>
    <row r="61" ht="12.75">
      <c r="G61" s="8"/>
    </row>
  </sheetData>
  <mergeCells count="36">
    <mergeCell ref="D53:E55"/>
    <mergeCell ref="B3:C3"/>
    <mergeCell ref="B6:D6"/>
    <mergeCell ref="A7:A8"/>
    <mergeCell ref="B40:F40"/>
    <mergeCell ref="B41:F41"/>
    <mergeCell ref="B48:F48"/>
    <mergeCell ref="B52:F52"/>
    <mergeCell ref="D45:E47"/>
    <mergeCell ref="D49:E51"/>
    <mergeCell ref="S7:V7"/>
    <mergeCell ref="I7:I8"/>
    <mergeCell ref="K7:N7"/>
    <mergeCell ref="F7:F8"/>
    <mergeCell ref="G7:G8"/>
    <mergeCell ref="H7:H8"/>
    <mergeCell ref="B56:F56"/>
    <mergeCell ref="B4:AD5"/>
    <mergeCell ref="B11:F11"/>
    <mergeCell ref="B32:F32"/>
    <mergeCell ref="B34:F34"/>
    <mergeCell ref="B38:F38"/>
    <mergeCell ref="B36:F36"/>
    <mergeCell ref="B10:F10"/>
    <mergeCell ref="B43:F43"/>
    <mergeCell ref="B44:F44"/>
    <mergeCell ref="B1:AD2"/>
    <mergeCell ref="B13:F13"/>
    <mergeCell ref="J7:J8"/>
    <mergeCell ref="W7:Z7"/>
    <mergeCell ref="AA7:AD7"/>
    <mergeCell ref="O7:R7"/>
    <mergeCell ref="B7:C8"/>
    <mergeCell ref="D7:D8"/>
    <mergeCell ref="E7:E8"/>
    <mergeCell ref="B9:C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56" r:id="rId1"/>
  <rowBreaks count="2" manualBreakCount="2">
    <brk id="35" max="29" man="1"/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t.kruszynski</dc:creator>
  <cp:keywords/>
  <dc:description/>
  <cp:lastModifiedBy>a.piórkowska</cp:lastModifiedBy>
  <cp:lastPrinted>2006-09-11T10:12:17Z</cp:lastPrinted>
  <dcterms:created xsi:type="dcterms:W3CDTF">2006-06-21T08:29:17Z</dcterms:created>
  <dcterms:modified xsi:type="dcterms:W3CDTF">2006-10-09T07:51:22Z</dcterms:modified>
  <cp:category/>
  <cp:version/>
  <cp:contentType/>
  <cp:contentStatus/>
</cp:coreProperties>
</file>